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4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tables/table5.xml" ContentType="application/vnd.openxmlformats-officedocument.spreadsheetml.tab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tables/table6.xml" ContentType="application/vnd.openxmlformats-officedocument.spreadsheetml.table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showInkAnnotation="0"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vgov-my.sharepoint.com/personal/grant_sparks_drpt_virginia_gov/Documents/Desktop/"/>
    </mc:Choice>
  </mc:AlternateContent>
  <xr:revisionPtr revIDLastSave="0" documentId="8_{B0837E8D-1695-4B7E-BBB9-B1620DFC16C1}" xr6:coauthVersionLast="47" xr6:coauthVersionMax="47" xr10:uidLastSave="{00000000-0000-0000-0000-000000000000}"/>
  <bookViews>
    <workbookView xWindow="-110" yWindow="-110" windowWidth="19420" windowHeight="11500" tabRatio="809" activeTab="1" xr2:uid="{00000000-000D-0000-FFFF-FFFF00000000}"/>
  </bookViews>
  <sheets>
    <sheet name="Assumptions" sheetId="132" r:id="rId1"/>
    <sheet name="LargeUrban" sheetId="129" r:id="rId2"/>
    <sheet name="SmallUrban" sheetId="134" r:id="rId3"/>
    <sheet name="Rural" sheetId="135" r:id="rId4"/>
    <sheet name="Allocation Calculations" sheetId="119" state="hidden" r:id="rId5"/>
    <sheet name="Ridership" sheetId="113" state="hidden" r:id="rId6"/>
    <sheet name="Revenue Hours" sheetId="114" state="hidden" r:id="rId7"/>
    <sheet name="Revenue Hours - Sizing" sheetId="123" state="hidden" r:id="rId8"/>
    <sheet name="Revenue Miles" sheetId="115" state="hidden" r:id="rId9"/>
    <sheet name="Revenue Miles - Sizing" sheetId="124" state="hidden" r:id="rId10"/>
    <sheet name="Op Cost - Performance" sheetId="121" state="hidden" r:id="rId11"/>
    <sheet name="Op Cost - Sizing (Reimbursable)" sheetId="120" state="hidden" r:id="rId12"/>
    <sheet name="Op Cost for Performance" sheetId="125" state="hidden" r:id="rId13"/>
    <sheet name="Order Key" sheetId="122" state="hidden" r:id="rId14"/>
    <sheet name="Commuter Rail Pool" sheetId="116" state="hidden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1__123Graph_ACHART_37" hidden="1">[1]Graph!$G$164:$BB$164</definedName>
    <definedName name="_2__123Graph_BCHART_37" hidden="1">[1]Graph!$G$168:$BB$168</definedName>
    <definedName name="_3__123Graph_CCHART_37" hidden="1">[1]Graph!$G$169:$BB$169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8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8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4" hidden="1">'Allocation Calculations'!$A$11:$CC$11</definedName>
    <definedName name="_xlnm._FilterDatabase" localSheetId="14" hidden="1">'Commuter Rail Pool'!$A$8:$E$49</definedName>
    <definedName name="_Order1" hidden="1">0</definedName>
    <definedName name="_Order2" hidden="1">255</definedName>
    <definedName name="Demonstration_Program_Approved">'[2]Spec. Proj. 42-43'!#REF!</definedName>
    <definedName name="Districts_Summary">'[2]Districts 3-39'!#REF!</definedName>
    <definedName name="Interns_Approved">'[2]Spec. Proj. 42-43'!#REF!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Large_Urban_Capital">#REF!</definedName>
    <definedName name="Nonurban_Capital">#REF!</definedName>
    <definedName name="Pal_Workbook_GUID" hidden="1">"PV8GPTPHTGTVXMW4LKC2SKTR"</definedName>
    <definedName name="_xlnm.Print_Area" localSheetId="1">LargeUrban!$A$1:$N$27</definedName>
    <definedName name="_xlnm.Print_Area" localSheetId="3">Rural!$A$1:$N$37</definedName>
    <definedName name="_xlnm.Print_Area" localSheetId="2">SmallUrban!$A$1:$N$26</definedName>
    <definedName name="Richmond">'[2]Districts 3-39'!#REF!</definedName>
    <definedName name="Richmond_Main_Street_Station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em">'[2]Districts 3-39'!#REF!</definedName>
    <definedName name="Small_Urban_Capital">#REF!</definedName>
    <definedName name="SpProjFundBal">'[2]Spec. Proj. 42-43'!#REF!</definedName>
    <definedName name="State_TDM_RS_Approved">'[3]SPEC. PROJ. DATA BASE'!$Q$4:$U$17</definedName>
    <definedName name="State_TDM_RS_Grants">'[3]SPEC. PROJ. DATA BASE'!$Q$4:$U$17</definedName>
    <definedName name="StateFundSources">#REF!</definedName>
    <definedName name="StateFundSrcs">[4]Dropdowns!$B$3:$B$7</definedName>
    <definedName name="Staunton">'[2]Districts 3-39'!#REF!</definedName>
    <definedName name="Tech_Assist_Approved">'[2]Spec. Proj. 42-43'!#REF!</definedName>
    <definedName name="TEIF_Approved">'[2]Spec. Proj. 42-43'!#REF!</definedName>
    <definedName name="TRIP2">'[2]Spec. Proj. 42-43'!#REF!</definedName>
    <definedName name="x">'[2]Spec. Proj. 42-43'!#REF!</definedName>
    <definedName name="Z_94D8ABD2_F813_4BD2_AD55_22BDD5D9923A_.wvu.Cols" localSheetId="4" hidden="1">'Allocation Calculations'!$Y:$AL</definedName>
    <definedName name="Z_94D8ABD2_F813_4BD2_AD55_22BDD5D9923A_.wvu.Cols" localSheetId="14" hidden="1">'Commuter Rail Pool'!#REF!</definedName>
    <definedName name="Z_94D8ABD2_F813_4BD2_AD55_22BDD5D9923A_.wvu.PrintArea" localSheetId="4" hidden="1">'Allocation Calculations'!$A$1:$X$51</definedName>
    <definedName name="Z_94D8ABD2_F813_4BD2_AD55_22BDD5D9923A_.wvu.PrintArea" localSheetId="14" hidden="1">'Commuter Rail Pool'!$A$1:$E$49</definedName>
    <definedName name="Z_B2E70C88_7433_47A3_885C_FE173A612781_.wvu.Cols" localSheetId="4" hidden="1">'Allocation Calculations'!$Y:$AL</definedName>
    <definedName name="Z_B2E70C88_7433_47A3_885C_FE173A612781_.wvu.Cols" localSheetId="14" hidden="1">'Commuter Rail Pool'!#REF!</definedName>
    <definedName name="Z_B2E70C88_7433_47A3_885C_FE173A612781_.wvu.PrintArea" localSheetId="4" hidden="1">'Allocation Calculations'!$A$1:$X$51</definedName>
    <definedName name="Z_B2E70C88_7433_47A3_885C_FE173A612781_.wvu.PrintArea" localSheetId="14" hidden="1">'Commuter Rail Pool'!$A$1:$E$49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35" l="1"/>
  <c r="L30" i="135"/>
  <c r="L29" i="135"/>
  <c r="L28" i="135"/>
  <c r="L27" i="135"/>
  <c r="L26" i="135"/>
  <c r="L25" i="135"/>
  <c r="L24" i="135"/>
  <c r="L23" i="135"/>
  <c r="L22" i="135"/>
  <c r="L21" i="135"/>
  <c r="L20" i="135"/>
  <c r="L19" i="135"/>
  <c r="L18" i="135"/>
  <c r="L17" i="135"/>
  <c r="L16" i="135"/>
  <c r="L15" i="135"/>
  <c r="L14" i="135"/>
  <c r="L13" i="135"/>
  <c r="L12" i="135"/>
  <c r="J31" i="135"/>
  <c r="J30" i="135"/>
  <c r="J29" i="135"/>
  <c r="J28" i="135"/>
  <c r="J27" i="135"/>
  <c r="J26" i="135"/>
  <c r="J25" i="135"/>
  <c r="J24" i="135"/>
  <c r="J23" i="135"/>
  <c r="J22" i="135"/>
  <c r="J21" i="135"/>
  <c r="J20" i="135"/>
  <c r="J19" i="135"/>
  <c r="J18" i="135"/>
  <c r="J17" i="135"/>
  <c r="J16" i="135"/>
  <c r="J15" i="135"/>
  <c r="J14" i="135"/>
  <c r="J13" i="135"/>
  <c r="J12" i="135"/>
  <c r="F31" i="135" l="1"/>
  <c r="E31" i="135"/>
  <c r="D31" i="135"/>
  <c r="C31" i="135"/>
  <c r="B31" i="135"/>
  <c r="F30" i="135"/>
  <c r="E30" i="135"/>
  <c r="D30" i="135"/>
  <c r="C30" i="135"/>
  <c r="B30" i="135"/>
  <c r="F29" i="135"/>
  <c r="E29" i="135"/>
  <c r="D29" i="135"/>
  <c r="C29" i="135"/>
  <c r="B29" i="135"/>
  <c r="F28" i="135"/>
  <c r="E28" i="135"/>
  <c r="D28" i="135"/>
  <c r="C28" i="135"/>
  <c r="B28" i="135"/>
  <c r="F27" i="135"/>
  <c r="E27" i="135"/>
  <c r="D27" i="135"/>
  <c r="C27" i="135"/>
  <c r="B27" i="135"/>
  <c r="F26" i="135"/>
  <c r="E26" i="135"/>
  <c r="D26" i="135"/>
  <c r="C26" i="135"/>
  <c r="B26" i="135"/>
  <c r="F25" i="135"/>
  <c r="E25" i="135"/>
  <c r="D25" i="135"/>
  <c r="C25" i="135"/>
  <c r="B25" i="135"/>
  <c r="F24" i="135"/>
  <c r="E24" i="135"/>
  <c r="D24" i="135"/>
  <c r="C24" i="135"/>
  <c r="B24" i="135"/>
  <c r="F23" i="135"/>
  <c r="E23" i="135"/>
  <c r="D23" i="135"/>
  <c r="C23" i="135"/>
  <c r="B23" i="135"/>
  <c r="F22" i="135"/>
  <c r="E22" i="135"/>
  <c r="D22" i="135"/>
  <c r="C22" i="135"/>
  <c r="B22" i="135"/>
  <c r="F21" i="135"/>
  <c r="E21" i="135"/>
  <c r="D21" i="135"/>
  <c r="C21" i="135"/>
  <c r="B21" i="135"/>
  <c r="F20" i="135"/>
  <c r="E20" i="135"/>
  <c r="D20" i="135"/>
  <c r="C20" i="135"/>
  <c r="B20" i="135"/>
  <c r="F19" i="135"/>
  <c r="E19" i="135"/>
  <c r="D19" i="135"/>
  <c r="C19" i="135"/>
  <c r="B19" i="135"/>
  <c r="F18" i="135"/>
  <c r="E18" i="135"/>
  <c r="D18" i="135"/>
  <c r="C18" i="135"/>
  <c r="B18" i="135"/>
  <c r="F17" i="135"/>
  <c r="E17" i="135"/>
  <c r="D17" i="135"/>
  <c r="C17" i="135"/>
  <c r="B17" i="135"/>
  <c r="F16" i="135"/>
  <c r="E16" i="135"/>
  <c r="D16" i="135"/>
  <c r="C16" i="135"/>
  <c r="B16" i="135"/>
  <c r="F15" i="135"/>
  <c r="E15" i="135"/>
  <c r="D15" i="135"/>
  <c r="C15" i="135"/>
  <c r="B15" i="135"/>
  <c r="F14" i="135"/>
  <c r="E14" i="135"/>
  <c r="D14" i="135"/>
  <c r="C14" i="135"/>
  <c r="B14" i="135"/>
  <c r="F13" i="135"/>
  <c r="E13" i="135"/>
  <c r="D13" i="135"/>
  <c r="C13" i="135"/>
  <c r="B13" i="135"/>
  <c r="F12" i="135"/>
  <c r="E12" i="135"/>
  <c r="D12" i="135"/>
  <c r="C12" i="135"/>
  <c r="B12" i="135"/>
  <c r="Q8" i="135"/>
  <c r="A4" i="135"/>
  <c r="F20" i="134"/>
  <c r="E20" i="134"/>
  <c r="D20" i="134"/>
  <c r="C20" i="134"/>
  <c r="B20" i="134"/>
  <c r="F19" i="134"/>
  <c r="E19" i="134"/>
  <c r="D19" i="134"/>
  <c r="C19" i="134"/>
  <c r="B19" i="134"/>
  <c r="F18" i="134"/>
  <c r="E18" i="134"/>
  <c r="D18" i="134"/>
  <c r="C18" i="134"/>
  <c r="B18" i="134"/>
  <c r="F17" i="134"/>
  <c r="E17" i="134"/>
  <c r="D17" i="134"/>
  <c r="C17" i="134"/>
  <c r="B17" i="134"/>
  <c r="F16" i="134"/>
  <c r="E16" i="134"/>
  <c r="D16" i="134"/>
  <c r="C16" i="134"/>
  <c r="B16" i="134"/>
  <c r="F15" i="134"/>
  <c r="E15" i="134"/>
  <c r="D15" i="134"/>
  <c r="C15" i="134"/>
  <c r="B15" i="134"/>
  <c r="F14" i="134"/>
  <c r="E14" i="134"/>
  <c r="D14" i="134"/>
  <c r="C14" i="134"/>
  <c r="B14" i="134"/>
  <c r="F13" i="134"/>
  <c r="E13" i="134"/>
  <c r="D13" i="134"/>
  <c r="C13" i="134"/>
  <c r="B13" i="134"/>
  <c r="F12" i="134"/>
  <c r="E12" i="134"/>
  <c r="D12" i="134"/>
  <c r="C12" i="134"/>
  <c r="B12" i="134"/>
  <c r="Q8" i="134"/>
  <c r="A4" i="134"/>
  <c r="A4" i="129"/>
  <c r="Q8" i="129"/>
  <c r="H19" i="135" l="1"/>
  <c r="F32" i="135"/>
  <c r="E32" i="135"/>
  <c r="H20" i="135" s="1"/>
  <c r="D32" i="135"/>
  <c r="C32" i="135"/>
  <c r="H25" i="135" s="1"/>
  <c r="D21" i="134"/>
  <c r="E21" i="134"/>
  <c r="F21" i="134"/>
  <c r="C21" i="134"/>
  <c r="H12" i="134" s="1"/>
  <c r="E12" i="132"/>
  <c r="E11" i="132"/>
  <c r="D12" i="132"/>
  <c r="D11" i="132"/>
  <c r="C12" i="132"/>
  <c r="C11" i="132"/>
  <c r="B21" i="129"/>
  <c r="B20" i="129"/>
  <c r="B19" i="129"/>
  <c r="B18" i="129"/>
  <c r="B17" i="129"/>
  <c r="B16" i="129"/>
  <c r="B15" i="129"/>
  <c r="B14" i="129"/>
  <c r="B13" i="129"/>
  <c r="B12" i="129"/>
  <c r="I2" i="121"/>
  <c r="C12" i="129"/>
  <c r="CM13" i="119"/>
  <c r="CM14" i="119"/>
  <c r="CM15" i="119"/>
  <c r="CM16" i="119"/>
  <c r="CM17" i="119"/>
  <c r="CM18" i="119"/>
  <c r="CM19" i="119"/>
  <c r="CM20" i="119"/>
  <c r="CM21" i="119"/>
  <c r="CM22" i="119"/>
  <c r="CM23" i="119"/>
  <c r="CM24" i="119"/>
  <c r="CM25" i="119"/>
  <c r="CM26" i="119"/>
  <c r="CM27" i="119"/>
  <c r="CM28" i="119"/>
  <c r="CM29" i="119"/>
  <c r="CM30" i="119"/>
  <c r="CM31" i="119"/>
  <c r="CM32" i="119"/>
  <c r="CM33" i="119"/>
  <c r="CM34" i="119"/>
  <c r="CM35" i="119"/>
  <c r="CM36" i="119"/>
  <c r="CM38" i="119"/>
  <c r="CM39" i="119"/>
  <c r="CM40" i="119"/>
  <c r="CM41" i="119"/>
  <c r="CM42" i="119"/>
  <c r="CM43" i="119"/>
  <c r="CM44" i="119"/>
  <c r="CM45" i="119"/>
  <c r="CM46" i="119"/>
  <c r="CM47" i="119"/>
  <c r="CM48" i="119"/>
  <c r="CM49" i="119"/>
  <c r="CM50" i="119"/>
  <c r="CM12" i="119"/>
  <c r="CJ45" i="119"/>
  <c r="CJ44" i="119"/>
  <c r="CJ43" i="119"/>
  <c r="CJ42" i="119"/>
  <c r="CJ41" i="119"/>
  <c r="CJ40" i="119"/>
  <c r="CJ39" i="119"/>
  <c r="CJ36" i="119"/>
  <c r="CJ35" i="119"/>
  <c r="CJ34" i="119"/>
  <c r="CJ33" i="119"/>
  <c r="CJ32" i="119"/>
  <c r="CJ31" i="119"/>
  <c r="CJ30" i="119"/>
  <c r="CJ28" i="119"/>
  <c r="CJ27" i="119"/>
  <c r="CJ26" i="119"/>
  <c r="CJ25" i="119"/>
  <c r="CJ24" i="119"/>
  <c r="CJ23" i="119"/>
  <c r="CJ22" i="119"/>
  <c r="CJ21" i="119"/>
  <c r="CJ20" i="119"/>
  <c r="CJ19" i="119"/>
  <c r="CJ17" i="119"/>
  <c r="CJ16" i="119"/>
  <c r="CJ15" i="119"/>
  <c r="CJ14" i="119"/>
  <c r="CJ13" i="119"/>
  <c r="CJ12" i="119"/>
  <c r="G25" i="135" l="1"/>
  <c r="G13" i="135"/>
  <c r="G23" i="135"/>
  <c r="H31" i="135"/>
  <c r="G19" i="135"/>
  <c r="G22" i="135"/>
  <c r="H21" i="135"/>
  <c r="H23" i="135"/>
  <c r="G26" i="135"/>
  <c r="I26" i="135" s="1"/>
  <c r="G14" i="135"/>
  <c r="G27" i="135"/>
  <c r="G15" i="135"/>
  <c r="H24" i="135"/>
  <c r="H16" i="135"/>
  <c r="H26" i="135"/>
  <c r="G24" i="135"/>
  <c r="H28" i="135"/>
  <c r="H14" i="135"/>
  <c r="H29" i="135"/>
  <c r="G18" i="135"/>
  <c r="H27" i="135"/>
  <c r="H18" i="135"/>
  <c r="H17" i="135"/>
  <c r="H30" i="135"/>
  <c r="G30" i="135"/>
  <c r="G28" i="135"/>
  <c r="G16" i="135"/>
  <c r="G29" i="135"/>
  <c r="G17" i="135"/>
  <c r="H15" i="135"/>
  <c r="H13" i="135"/>
  <c r="G31" i="135"/>
  <c r="H22" i="135"/>
  <c r="G21" i="135"/>
  <c r="G20" i="135"/>
  <c r="G12" i="135"/>
  <c r="H12" i="135"/>
  <c r="G12" i="134"/>
  <c r="H14" i="134"/>
  <c r="G15" i="134"/>
  <c r="H13" i="134"/>
  <c r="G16" i="134"/>
  <c r="H15" i="134"/>
  <c r="G17" i="134"/>
  <c r="H18" i="134"/>
  <c r="H20" i="134"/>
  <c r="H19" i="134"/>
  <c r="G19" i="134"/>
  <c r="G18" i="134"/>
  <c r="H17" i="134"/>
  <c r="H16" i="134"/>
  <c r="G13" i="134"/>
  <c r="G20" i="134"/>
  <c r="G14" i="134"/>
  <c r="CJ51" i="119"/>
  <c r="F13" i="129"/>
  <c r="F14" i="129"/>
  <c r="F15" i="129"/>
  <c r="F16" i="129"/>
  <c r="F17" i="129"/>
  <c r="F18" i="129"/>
  <c r="F19" i="129"/>
  <c r="F20" i="129"/>
  <c r="F21" i="129"/>
  <c r="F12" i="129"/>
  <c r="E13" i="129"/>
  <c r="E14" i="129"/>
  <c r="E15" i="129"/>
  <c r="E16" i="129"/>
  <c r="E17" i="129"/>
  <c r="E18" i="129"/>
  <c r="E19" i="129"/>
  <c r="E20" i="129"/>
  <c r="E21" i="129"/>
  <c r="E12" i="129"/>
  <c r="D13" i="129"/>
  <c r="D14" i="129"/>
  <c r="D15" i="129"/>
  <c r="D16" i="129"/>
  <c r="D17" i="129"/>
  <c r="D18" i="129"/>
  <c r="D19" i="129"/>
  <c r="D20" i="129"/>
  <c r="D21" i="129"/>
  <c r="D12" i="129"/>
  <c r="C13" i="129"/>
  <c r="C14" i="129"/>
  <c r="C15" i="129"/>
  <c r="C16" i="129"/>
  <c r="C17" i="129"/>
  <c r="C18" i="129"/>
  <c r="C19" i="129"/>
  <c r="C20" i="129"/>
  <c r="C21" i="129"/>
  <c r="I2" i="113"/>
  <c r="I3" i="113"/>
  <c r="I4" i="113"/>
  <c r="I5" i="113"/>
  <c r="I6" i="113"/>
  <c r="I7" i="113"/>
  <c r="I8" i="113"/>
  <c r="I9" i="113"/>
  <c r="I10" i="113"/>
  <c r="I11" i="113"/>
  <c r="I12" i="113"/>
  <c r="I13" i="113"/>
  <c r="I14" i="113"/>
  <c r="I15" i="113"/>
  <c r="I16" i="113"/>
  <c r="I17" i="113"/>
  <c r="I18" i="113"/>
  <c r="I19" i="113"/>
  <c r="I20" i="113"/>
  <c r="I21" i="113"/>
  <c r="I22" i="113"/>
  <c r="I23" i="113"/>
  <c r="I24" i="113"/>
  <c r="I25" i="113"/>
  <c r="I26" i="113"/>
  <c r="I27" i="113"/>
  <c r="I28" i="113"/>
  <c r="I29" i="113"/>
  <c r="I30" i="113"/>
  <c r="I31" i="113"/>
  <c r="I32" i="113"/>
  <c r="I33" i="113"/>
  <c r="I34" i="113"/>
  <c r="I35" i="113"/>
  <c r="I36" i="113"/>
  <c r="I37" i="113"/>
  <c r="I38" i="113"/>
  <c r="I39" i="113"/>
  <c r="I40" i="113"/>
  <c r="I2" i="123"/>
  <c r="I3" i="123"/>
  <c r="I4" i="123"/>
  <c r="I5" i="123"/>
  <c r="I6" i="123"/>
  <c r="I7" i="123"/>
  <c r="I8" i="123"/>
  <c r="I9" i="123"/>
  <c r="I10" i="123"/>
  <c r="I11" i="123"/>
  <c r="I12" i="123"/>
  <c r="I13" i="123"/>
  <c r="I14" i="123"/>
  <c r="I15" i="123"/>
  <c r="I16" i="123"/>
  <c r="I17" i="123"/>
  <c r="I18" i="123"/>
  <c r="I19" i="123"/>
  <c r="I20" i="123"/>
  <c r="I21" i="123"/>
  <c r="I22" i="123"/>
  <c r="I23" i="123"/>
  <c r="I24" i="123"/>
  <c r="I25" i="123"/>
  <c r="I26" i="123"/>
  <c r="I27" i="123"/>
  <c r="I28" i="123"/>
  <c r="I29" i="123"/>
  <c r="I30" i="123"/>
  <c r="I31" i="123"/>
  <c r="I32" i="123"/>
  <c r="I33" i="123"/>
  <c r="I34" i="123"/>
  <c r="I35" i="123"/>
  <c r="I36" i="123"/>
  <c r="I37" i="123"/>
  <c r="I38" i="123"/>
  <c r="I39" i="123"/>
  <c r="I40" i="123"/>
  <c r="I2" i="124"/>
  <c r="I3" i="124"/>
  <c r="I4" i="124"/>
  <c r="I5" i="124"/>
  <c r="I6" i="124"/>
  <c r="I7" i="124"/>
  <c r="I8" i="124"/>
  <c r="I9" i="124"/>
  <c r="I10" i="124"/>
  <c r="I11" i="124"/>
  <c r="I12" i="124"/>
  <c r="I13" i="124"/>
  <c r="I14" i="124"/>
  <c r="I15" i="124"/>
  <c r="I16" i="124"/>
  <c r="I17" i="124"/>
  <c r="I18" i="124"/>
  <c r="I19" i="124"/>
  <c r="I20" i="124"/>
  <c r="I21" i="124"/>
  <c r="I22" i="124"/>
  <c r="I23" i="124"/>
  <c r="I24" i="124"/>
  <c r="I25" i="124"/>
  <c r="I26" i="124"/>
  <c r="I27" i="124"/>
  <c r="I28" i="124"/>
  <c r="I29" i="124"/>
  <c r="I30" i="124"/>
  <c r="I31" i="124"/>
  <c r="I32" i="124"/>
  <c r="I33" i="124"/>
  <c r="I34" i="124"/>
  <c r="I35" i="124"/>
  <c r="I36" i="124"/>
  <c r="I37" i="124"/>
  <c r="I38" i="124"/>
  <c r="I39" i="124"/>
  <c r="I40" i="124"/>
  <c r="I3" i="121"/>
  <c r="I4" i="121"/>
  <c r="I5" i="121"/>
  <c r="I6" i="121"/>
  <c r="I7" i="121"/>
  <c r="I8" i="121"/>
  <c r="I9" i="121"/>
  <c r="I10" i="121"/>
  <c r="I11" i="121"/>
  <c r="I12" i="121"/>
  <c r="I13" i="121"/>
  <c r="I14" i="121"/>
  <c r="I15" i="121"/>
  <c r="I16" i="121"/>
  <c r="I17" i="121"/>
  <c r="I18" i="121"/>
  <c r="I19" i="121"/>
  <c r="I20" i="121"/>
  <c r="I21" i="121"/>
  <c r="I22" i="121"/>
  <c r="I23" i="121"/>
  <c r="I24" i="121"/>
  <c r="I25" i="121"/>
  <c r="I26" i="121"/>
  <c r="I27" i="121"/>
  <c r="I28" i="121"/>
  <c r="I29" i="121"/>
  <c r="I30" i="121"/>
  <c r="I31" i="121"/>
  <c r="I32" i="121"/>
  <c r="I33" i="121"/>
  <c r="I34" i="121"/>
  <c r="I35" i="121"/>
  <c r="I36" i="121"/>
  <c r="I37" i="121"/>
  <c r="I38" i="121"/>
  <c r="I39" i="121"/>
  <c r="I40" i="121"/>
  <c r="M27" i="135" l="1"/>
  <c r="N27" i="135" s="1"/>
  <c r="P27" i="135" s="1"/>
  <c r="M25" i="135"/>
  <c r="N25" i="135" s="1"/>
  <c r="P25" i="135" s="1"/>
  <c r="M22" i="135"/>
  <c r="N22" i="135" s="1"/>
  <c r="P22" i="135" s="1"/>
  <c r="M19" i="135"/>
  <c r="N19" i="135" s="1"/>
  <c r="P19" i="135" s="1"/>
  <c r="M23" i="135"/>
  <c r="N23" i="135" s="1"/>
  <c r="P23" i="135" s="1"/>
  <c r="M15" i="135"/>
  <c r="N15" i="135" s="1"/>
  <c r="P15" i="135" s="1"/>
  <c r="M14" i="135"/>
  <c r="N14" i="135" s="1"/>
  <c r="P14" i="135" s="1"/>
  <c r="M21" i="135"/>
  <c r="N21" i="135" s="1"/>
  <c r="P21" i="135" s="1"/>
  <c r="I19" i="135"/>
  <c r="I31" i="135"/>
  <c r="M31" i="135"/>
  <c r="N31" i="135" s="1"/>
  <c r="P31" i="135" s="1"/>
  <c r="I22" i="135"/>
  <c r="I16" i="135"/>
  <c r="M16" i="135"/>
  <c r="N16" i="135" s="1"/>
  <c r="P16" i="135" s="1"/>
  <c r="I23" i="135"/>
  <c r="M29" i="135"/>
  <c r="N29" i="135" s="1"/>
  <c r="P29" i="135" s="1"/>
  <c r="I24" i="135"/>
  <c r="M26" i="135"/>
  <c r="N26" i="135" s="1"/>
  <c r="P26" i="135" s="1"/>
  <c r="I28" i="135"/>
  <c r="I30" i="135"/>
  <c r="M24" i="135"/>
  <c r="N24" i="135" s="1"/>
  <c r="P24" i="135" s="1"/>
  <c r="I13" i="135"/>
  <c r="I18" i="135"/>
  <c r="M28" i="135"/>
  <c r="N28" i="135" s="1"/>
  <c r="P28" i="135" s="1"/>
  <c r="M30" i="135"/>
  <c r="N30" i="135" s="1"/>
  <c r="P30" i="135" s="1"/>
  <c r="I15" i="135"/>
  <c r="I25" i="135"/>
  <c r="M13" i="135"/>
  <c r="N13" i="135" s="1"/>
  <c r="P13" i="135" s="1"/>
  <c r="I29" i="135"/>
  <c r="I20" i="135"/>
  <c r="M17" i="135"/>
  <c r="N17" i="135" s="1"/>
  <c r="P17" i="135" s="1"/>
  <c r="I27" i="135"/>
  <c r="M20" i="135"/>
  <c r="N20" i="135" s="1"/>
  <c r="P20" i="135" s="1"/>
  <c r="I17" i="135"/>
  <c r="I21" i="135"/>
  <c r="M18" i="135"/>
  <c r="N18" i="135" s="1"/>
  <c r="P18" i="135" s="1"/>
  <c r="I14" i="135"/>
  <c r="G32" i="135"/>
  <c r="I12" i="135"/>
  <c r="H32" i="135"/>
  <c r="M12" i="135"/>
  <c r="N12" i="135" s="1"/>
  <c r="P12" i="135" s="1"/>
  <c r="M19" i="134"/>
  <c r="I18" i="134"/>
  <c r="I12" i="134"/>
  <c r="M12" i="134"/>
  <c r="I17" i="134"/>
  <c r="M15" i="134"/>
  <c r="I16" i="134"/>
  <c r="M13" i="134"/>
  <c r="G21" i="134"/>
  <c r="M20" i="134"/>
  <c r="I20" i="134"/>
  <c r="M16" i="134"/>
  <c r="I15" i="134"/>
  <c r="I19" i="134"/>
  <c r="H21" i="134"/>
  <c r="M18" i="134"/>
  <c r="I14" i="134"/>
  <c r="I13" i="134"/>
  <c r="M17" i="134"/>
  <c r="M14" i="134"/>
  <c r="F22" i="129"/>
  <c r="E22" i="129"/>
  <c r="D22" i="129"/>
  <c r="C22" i="129"/>
  <c r="G12" i="129" s="1"/>
  <c r="C52" i="119"/>
  <c r="D52" i="119" s="1"/>
  <c r="E52" i="119" s="1"/>
  <c r="F52" i="119" s="1"/>
  <c r="G52" i="119" s="1"/>
  <c r="H52" i="119" s="1"/>
  <c r="I52" i="119" s="1"/>
  <c r="J52" i="119" s="1"/>
  <c r="K52" i="119" s="1"/>
  <c r="L52" i="119" s="1"/>
  <c r="M52" i="119" s="1"/>
  <c r="N52" i="119" s="1"/>
  <c r="O52" i="119" s="1"/>
  <c r="P52" i="119" s="1"/>
  <c r="Q52" i="119" s="1"/>
  <c r="R52" i="119" s="1"/>
  <c r="S52" i="119" s="1"/>
  <c r="T52" i="119" s="1"/>
  <c r="U52" i="119" s="1"/>
  <c r="V52" i="119" s="1"/>
  <c r="W52" i="119" s="1"/>
  <c r="X52" i="119" s="1"/>
  <c r="Y52" i="119" s="1"/>
  <c r="Z52" i="119" s="1"/>
  <c r="AA52" i="119" s="1"/>
  <c r="AB52" i="119" s="1"/>
  <c r="AC52" i="119" s="1"/>
  <c r="AD52" i="119" s="1"/>
  <c r="AE52" i="119" s="1"/>
  <c r="AF52" i="119" s="1"/>
  <c r="AG52" i="119" s="1"/>
  <c r="AH52" i="119" s="1"/>
  <c r="AI52" i="119" s="1"/>
  <c r="AJ52" i="119" s="1"/>
  <c r="AK52" i="119" s="1"/>
  <c r="AL52" i="119" s="1"/>
  <c r="AM52" i="119" s="1"/>
  <c r="AN52" i="119" s="1"/>
  <c r="AO52" i="119" s="1"/>
  <c r="AP52" i="119" s="1"/>
  <c r="AQ52" i="119" s="1"/>
  <c r="AR52" i="119" s="1"/>
  <c r="AS52" i="119" s="1"/>
  <c r="AT52" i="119" s="1"/>
  <c r="AU52" i="119" s="1"/>
  <c r="AV52" i="119" s="1"/>
  <c r="AW52" i="119" s="1"/>
  <c r="AX52" i="119" s="1"/>
  <c r="AY52" i="119" s="1"/>
  <c r="AZ52" i="119" s="1"/>
  <c r="BA52" i="119" s="1"/>
  <c r="BB52" i="119" s="1"/>
  <c r="BC52" i="119" s="1"/>
  <c r="BD52" i="119" s="1"/>
  <c r="BE52" i="119" s="1"/>
  <c r="BF52" i="119" s="1"/>
  <c r="BG52" i="119" s="1"/>
  <c r="BH52" i="119" s="1"/>
  <c r="BI52" i="119" s="1"/>
  <c r="BJ52" i="119" s="1"/>
  <c r="BK52" i="119" s="1"/>
  <c r="BL52" i="119" s="1"/>
  <c r="BM52" i="119" s="1"/>
  <c r="BN52" i="119" s="1"/>
  <c r="BO52" i="119" s="1"/>
  <c r="BP52" i="119" s="1"/>
  <c r="BQ52" i="119" s="1"/>
  <c r="BR52" i="119" s="1"/>
  <c r="BS52" i="119" s="1"/>
  <c r="BT52" i="119" s="1"/>
  <c r="BU52" i="119" s="1"/>
  <c r="BV52" i="119" s="1"/>
  <c r="BW52" i="119" s="1"/>
  <c r="BX52" i="119" s="1"/>
  <c r="BY52" i="119" s="1"/>
  <c r="BZ52" i="119" s="1"/>
  <c r="CA52" i="119" s="1"/>
  <c r="CB52" i="119" s="1"/>
  <c r="CC52" i="119" s="1"/>
  <c r="CD52" i="119" s="1"/>
  <c r="CE52" i="119" s="1"/>
  <c r="CF52" i="119" s="1"/>
  <c r="CG52" i="119" s="1"/>
  <c r="CH52" i="119" s="1"/>
  <c r="N14" i="134" l="1"/>
  <c r="P14" i="134" s="1"/>
  <c r="J16" i="134"/>
  <c r="L16" i="134" s="1"/>
  <c r="N15" i="134"/>
  <c r="P15" i="134" s="1"/>
  <c r="J14" i="134"/>
  <c r="L14" i="134" s="1"/>
  <c r="N12" i="134"/>
  <c r="P12" i="134" s="1"/>
  <c r="J12" i="134"/>
  <c r="L12" i="134" s="1"/>
  <c r="L18" i="134"/>
  <c r="J18" i="134"/>
  <c r="J15" i="134"/>
  <c r="L15" i="134" s="1"/>
  <c r="J20" i="134"/>
  <c r="L20" i="134" s="1"/>
  <c r="N13" i="134"/>
  <c r="P13" i="134" s="1"/>
  <c r="N17" i="134"/>
  <c r="P17" i="134" s="1"/>
  <c r="J13" i="134"/>
  <c r="L13" i="134" s="1"/>
  <c r="L17" i="134"/>
  <c r="J17" i="134"/>
  <c r="N18" i="134"/>
  <c r="P18" i="134" s="1"/>
  <c r="J19" i="134"/>
  <c r="L19" i="134" s="1"/>
  <c r="N19" i="134"/>
  <c r="P19" i="134" s="1"/>
  <c r="N16" i="134"/>
  <c r="P16" i="134" s="1"/>
  <c r="N20" i="134"/>
  <c r="P20" i="134" s="1"/>
  <c r="I32" i="135"/>
  <c r="M32" i="135"/>
  <c r="M21" i="134"/>
  <c r="I21" i="134"/>
  <c r="G14" i="129"/>
  <c r="I14" i="129" s="1"/>
  <c r="G19" i="129"/>
  <c r="G13" i="129"/>
  <c r="G18" i="129"/>
  <c r="G21" i="129"/>
  <c r="G15" i="129"/>
  <c r="G16" i="129"/>
  <c r="G17" i="129"/>
  <c r="G20" i="129"/>
  <c r="H15" i="129"/>
  <c r="H19" i="129"/>
  <c r="H18" i="129"/>
  <c r="H14" i="129"/>
  <c r="H21" i="129"/>
  <c r="H17" i="129"/>
  <c r="H13" i="129"/>
  <c r="H20" i="129"/>
  <c r="H16" i="129"/>
  <c r="H12" i="129"/>
  <c r="H43" i="125"/>
  <c r="D43" i="125"/>
  <c r="C43" i="125"/>
  <c r="B43" i="125"/>
  <c r="D34" i="125"/>
  <c r="D5" i="125"/>
  <c r="D13" i="119"/>
  <c r="D14" i="119"/>
  <c r="D15" i="119"/>
  <c r="D16" i="119"/>
  <c r="D17" i="119"/>
  <c r="D18" i="119"/>
  <c r="D19" i="119"/>
  <c r="D20" i="119"/>
  <c r="D21" i="119"/>
  <c r="D22" i="119"/>
  <c r="D23" i="119"/>
  <c r="D24" i="119"/>
  <c r="D25" i="119"/>
  <c r="D26" i="119"/>
  <c r="D27" i="119"/>
  <c r="D28" i="119"/>
  <c r="D29" i="119"/>
  <c r="D30" i="119"/>
  <c r="D31" i="119"/>
  <c r="D32" i="119"/>
  <c r="D33" i="119"/>
  <c r="D34" i="119"/>
  <c r="D35" i="119"/>
  <c r="D36" i="119"/>
  <c r="D37" i="119"/>
  <c r="D38" i="119"/>
  <c r="D39" i="119"/>
  <c r="D40" i="119"/>
  <c r="D41" i="119"/>
  <c r="D42" i="119"/>
  <c r="D43" i="119"/>
  <c r="D44" i="119"/>
  <c r="D45" i="119"/>
  <c r="D46" i="119"/>
  <c r="D47" i="119"/>
  <c r="D48" i="119"/>
  <c r="D49" i="119"/>
  <c r="D50" i="119"/>
  <c r="D12" i="119"/>
  <c r="S37" i="119"/>
  <c r="T37" i="119"/>
  <c r="U37" i="119"/>
  <c r="Z37" i="119"/>
  <c r="AA37" i="119"/>
  <c r="AB37" i="119"/>
  <c r="AG37" i="119"/>
  <c r="AH37" i="119"/>
  <c r="AI37" i="119"/>
  <c r="AN37" i="119"/>
  <c r="AO37" i="119"/>
  <c r="AP37" i="119"/>
  <c r="BH37" i="119"/>
  <c r="BT37" i="119" s="1"/>
  <c r="L37" i="119"/>
  <c r="M37" i="119"/>
  <c r="N37" i="119"/>
  <c r="K27" i="124"/>
  <c r="L27" i="124" s="1"/>
  <c r="K27" i="123"/>
  <c r="L27" i="123" s="1"/>
  <c r="K27" i="113"/>
  <c r="L27" i="113" s="1"/>
  <c r="K28" i="113"/>
  <c r="L28" i="113"/>
  <c r="K29" i="113"/>
  <c r="L29" i="113" s="1"/>
  <c r="K30" i="113"/>
  <c r="L30" i="113"/>
  <c r="K31" i="113"/>
  <c r="L31" i="113"/>
  <c r="K32" i="113"/>
  <c r="L32" i="113" s="1"/>
  <c r="K33" i="113"/>
  <c r="L33" i="113" s="1"/>
  <c r="K34" i="113"/>
  <c r="L34" i="113" s="1"/>
  <c r="K35" i="113"/>
  <c r="L35" i="113"/>
  <c r="K36" i="113"/>
  <c r="L36" i="113" s="1"/>
  <c r="K37" i="113"/>
  <c r="L37" i="113"/>
  <c r="K38" i="113"/>
  <c r="L38" i="113"/>
  <c r="K39" i="113"/>
  <c r="L39" i="113"/>
  <c r="K40" i="113"/>
  <c r="L40" i="113" s="1"/>
  <c r="K26" i="113"/>
  <c r="E37" i="119"/>
  <c r="F37" i="119"/>
  <c r="G37" i="119"/>
  <c r="D37" i="113"/>
  <c r="J32" i="135" l="1"/>
  <c r="L32" i="135"/>
  <c r="P32" i="135"/>
  <c r="N32" i="135"/>
  <c r="L21" i="134"/>
  <c r="P21" i="134"/>
  <c r="J21" i="134"/>
  <c r="N21" i="134"/>
  <c r="J14" i="129"/>
  <c r="L14" i="129" s="1"/>
  <c r="I17" i="129"/>
  <c r="I21" i="129"/>
  <c r="I15" i="129"/>
  <c r="I18" i="129"/>
  <c r="I20" i="129"/>
  <c r="I16" i="129"/>
  <c r="G22" i="129"/>
  <c r="I13" i="129"/>
  <c r="I12" i="129"/>
  <c r="I19" i="129"/>
  <c r="M16" i="129"/>
  <c r="M20" i="129"/>
  <c r="H22" i="129"/>
  <c r="M12" i="129"/>
  <c r="M21" i="129"/>
  <c r="M17" i="129"/>
  <c r="M15" i="129"/>
  <c r="M13" i="129"/>
  <c r="M18" i="129"/>
  <c r="N18" i="129" s="1"/>
  <c r="M14" i="129"/>
  <c r="M19" i="129"/>
  <c r="CF37" i="119"/>
  <c r="K37" i="124"/>
  <c r="L37" i="124" s="1"/>
  <c r="K38" i="124"/>
  <c r="L38" i="124" s="1"/>
  <c r="K39" i="124"/>
  <c r="L39" i="124" s="1"/>
  <c r="K40" i="124"/>
  <c r="L40" i="124" s="1"/>
  <c r="K3" i="124"/>
  <c r="L3" i="124" s="1"/>
  <c r="K4" i="124"/>
  <c r="L4" i="124" s="1"/>
  <c r="K5" i="124"/>
  <c r="L5" i="124"/>
  <c r="K6" i="124"/>
  <c r="L6" i="124" s="1"/>
  <c r="K7" i="124"/>
  <c r="L7" i="124" s="1"/>
  <c r="K8" i="124"/>
  <c r="L8" i="124"/>
  <c r="K9" i="124"/>
  <c r="L9" i="124" s="1"/>
  <c r="K10" i="124"/>
  <c r="L10" i="124" s="1"/>
  <c r="K11" i="124"/>
  <c r="L11" i="124" s="1"/>
  <c r="K12" i="124"/>
  <c r="L12" i="124" s="1"/>
  <c r="K13" i="124"/>
  <c r="L13" i="124" s="1"/>
  <c r="K14" i="124"/>
  <c r="L14" i="124" s="1"/>
  <c r="K15" i="124"/>
  <c r="L15" i="124" s="1"/>
  <c r="K16" i="124"/>
  <c r="L16" i="124"/>
  <c r="K17" i="124"/>
  <c r="L17" i="124"/>
  <c r="K18" i="124"/>
  <c r="L18" i="124"/>
  <c r="K20" i="124"/>
  <c r="L20" i="124" s="1"/>
  <c r="K21" i="124"/>
  <c r="L21" i="124" s="1"/>
  <c r="K22" i="124"/>
  <c r="L22" i="124" s="1"/>
  <c r="K23" i="124"/>
  <c r="L23" i="124" s="1"/>
  <c r="K25" i="124"/>
  <c r="L25" i="124" s="1"/>
  <c r="K28" i="124"/>
  <c r="L28" i="124" s="1"/>
  <c r="K29" i="124"/>
  <c r="L29" i="124" s="1"/>
  <c r="K30" i="124"/>
  <c r="L30" i="124" s="1"/>
  <c r="K31" i="124"/>
  <c r="L31" i="124" s="1"/>
  <c r="K32" i="124"/>
  <c r="L32" i="124" s="1"/>
  <c r="K33" i="124"/>
  <c r="L33" i="124" s="1"/>
  <c r="K34" i="124"/>
  <c r="L34" i="124" s="1"/>
  <c r="K35" i="124"/>
  <c r="L35" i="124" s="1"/>
  <c r="K36" i="124"/>
  <c r="L36" i="124" s="1"/>
  <c r="K2" i="124"/>
  <c r="L2" i="124" s="1"/>
  <c r="K3" i="123"/>
  <c r="L3" i="123" s="1"/>
  <c r="K4" i="123"/>
  <c r="L4" i="123" s="1"/>
  <c r="K5" i="123"/>
  <c r="L5" i="123"/>
  <c r="K6" i="123"/>
  <c r="L6" i="123" s="1"/>
  <c r="K7" i="123"/>
  <c r="L7" i="123" s="1"/>
  <c r="K8" i="123"/>
  <c r="L8" i="123" s="1"/>
  <c r="K9" i="123"/>
  <c r="L9" i="123" s="1"/>
  <c r="K10" i="123"/>
  <c r="L10" i="123" s="1"/>
  <c r="K11" i="123"/>
  <c r="L11" i="123" s="1"/>
  <c r="K12" i="123"/>
  <c r="L12" i="123" s="1"/>
  <c r="K13" i="123"/>
  <c r="L13" i="123" s="1"/>
  <c r="K14" i="123"/>
  <c r="L14" i="123" s="1"/>
  <c r="K15" i="123"/>
  <c r="L15" i="123" s="1"/>
  <c r="K16" i="123"/>
  <c r="L16" i="123" s="1"/>
  <c r="K17" i="123"/>
  <c r="L17" i="123" s="1"/>
  <c r="K18" i="123"/>
  <c r="L18" i="123"/>
  <c r="K20" i="123"/>
  <c r="L20" i="123"/>
  <c r="K21" i="123"/>
  <c r="L21" i="123" s="1"/>
  <c r="K22" i="123"/>
  <c r="L22" i="123" s="1"/>
  <c r="K23" i="123"/>
  <c r="L23" i="123" s="1"/>
  <c r="K25" i="123"/>
  <c r="L25" i="123" s="1"/>
  <c r="K28" i="123"/>
  <c r="L28" i="123" s="1"/>
  <c r="K29" i="123"/>
  <c r="L29" i="123" s="1"/>
  <c r="K30" i="123"/>
  <c r="L30" i="123" s="1"/>
  <c r="K31" i="123"/>
  <c r="L31" i="123" s="1"/>
  <c r="K32" i="123"/>
  <c r="L32" i="123" s="1"/>
  <c r="K33" i="123"/>
  <c r="L33" i="123" s="1"/>
  <c r="K34" i="123"/>
  <c r="L34" i="123"/>
  <c r="K35" i="123"/>
  <c r="L35" i="123"/>
  <c r="K36" i="123"/>
  <c r="L36" i="123" s="1"/>
  <c r="K37" i="123"/>
  <c r="L37" i="123" s="1"/>
  <c r="K38" i="123"/>
  <c r="L38" i="123" s="1"/>
  <c r="K39" i="123"/>
  <c r="L39" i="123" s="1"/>
  <c r="K40" i="123"/>
  <c r="L40" i="123" s="1"/>
  <c r="K2" i="123"/>
  <c r="L2" i="123" s="1"/>
  <c r="K3" i="113"/>
  <c r="L3" i="113" s="1"/>
  <c r="K4" i="113"/>
  <c r="L4" i="113" s="1"/>
  <c r="K5" i="113"/>
  <c r="L5" i="113" s="1"/>
  <c r="K6" i="113"/>
  <c r="L6" i="113" s="1"/>
  <c r="K7" i="113"/>
  <c r="L7" i="113" s="1"/>
  <c r="K8" i="113"/>
  <c r="L8" i="113" s="1"/>
  <c r="K9" i="113"/>
  <c r="L9" i="113" s="1"/>
  <c r="K10" i="113"/>
  <c r="L10" i="113" s="1"/>
  <c r="K11" i="113"/>
  <c r="L11" i="113" s="1"/>
  <c r="K12" i="113"/>
  <c r="L12" i="113" s="1"/>
  <c r="K13" i="113"/>
  <c r="L13" i="113" s="1"/>
  <c r="K14" i="113"/>
  <c r="L14" i="113" s="1"/>
  <c r="K15" i="113"/>
  <c r="L15" i="113" s="1"/>
  <c r="K16" i="113"/>
  <c r="L16" i="113" s="1"/>
  <c r="K17" i="113"/>
  <c r="L17" i="113" s="1"/>
  <c r="K18" i="113"/>
  <c r="L18" i="113" s="1"/>
  <c r="K19" i="113"/>
  <c r="L19" i="113" s="1"/>
  <c r="K20" i="113"/>
  <c r="L20" i="113" s="1"/>
  <c r="K21" i="113"/>
  <c r="L21" i="113" s="1"/>
  <c r="K22" i="113"/>
  <c r="L22" i="113" s="1"/>
  <c r="K23" i="113"/>
  <c r="L23" i="113" s="1"/>
  <c r="K24" i="113"/>
  <c r="L24" i="113" s="1"/>
  <c r="K25" i="113"/>
  <c r="L25" i="113" s="1"/>
  <c r="L26" i="113"/>
  <c r="K2" i="113"/>
  <c r="L2" i="113" s="1"/>
  <c r="E26" i="115"/>
  <c r="E24" i="115"/>
  <c r="E19" i="115"/>
  <c r="E26" i="124"/>
  <c r="E24" i="124"/>
  <c r="E19" i="124"/>
  <c r="D19" i="115"/>
  <c r="E19" i="114"/>
  <c r="E26" i="123"/>
  <c r="E24" i="123"/>
  <c r="E19" i="123"/>
  <c r="J19" i="129" l="1"/>
  <c r="L19" i="129" s="1"/>
  <c r="J13" i="129"/>
  <c r="L13" i="129" s="1"/>
  <c r="I22" i="129"/>
  <c r="J12" i="129"/>
  <c r="J16" i="129"/>
  <c r="L16" i="129" s="1"/>
  <c r="J20" i="129"/>
  <c r="L20" i="129" s="1"/>
  <c r="L18" i="129"/>
  <c r="J18" i="129"/>
  <c r="J15" i="129"/>
  <c r="L15" i="129" s="1"/>
  <c r="J21" i="129"/>
  <c r="L21" i="129" s="1"/>
  <c r="J17" i="129"/>
  <c r="L17" i="129" s="1"/>
  <c r="N20" i="129"/>
  <c r="N14" i="129"/>
  <c r="N12" i="129"/>
  <c r="N19" i="129"/>
  <c r="N15" i="129"/>
  <c r="N17" i="129"/>
  <c r="N21" i="129"/>
  <c r="N16" i="129"/>
  <c r="N13" i="129"/>
  <c r="M22" i="129"/>
  <c r="G13" i="119"/>
  <c r="G14" i="119"/>
  <c r="G15" i="119"/>
  <c r="G16" i="119"/>
  <c r="G17" i="119"/>
  <c r="G18" i="119"/>
  <c r="G19" i="119"/>
  <c r="G20" i="119"/>
  <c r="G21" i="119"/>
  <c r="G22" i="119"/>
  <c r="G23" i="119"/>
  <c r="G24" i="119"/>
  <c r="G25" i="119"/>
  <c r="G26" i="119"/>
  <c r="G27" i="119"/>
  <c r="G28" i="119"/>
  <c r="G29" i="119"/>
  <c r="G30" i="119"/>
  <c r="G31" i="119"/>
  <c r="G32" i="119"/>
  <c r="G33" i="119"/>
  <c r="G34" i="119"/>
  <c r="G35" i="119"/>
  <c r="G36" i="119"/>
  <c r="G38" i="119"/>
  <c r="G39" i="119"/>
  <c r="G40" i="119"/>
  <c r="G41" i="119"/>
  <c r="G42" i="119"/>
  <c r="G43" i="119"/>
  <c r="G44" i="119"/>
  <c r="G45" i="119"/>
  <c r="G46" i="119"/>
  <c r="G47" i="119"/>
  <c r="G48" i="119"/>
  <c r="G49" i="119"/>
  <c r="G50" i="119"/>
  <c r="G12" i="119"/>
  <c r="F13" i="119"/>
  <c r="F14" i="119"/>
  <c r="F15" i="119"/>
  <c r="F16" i="119"/>
  <c r="F17" i="119"/>
  <c r="F18" i="119"/>
  <c r="F19" i="119"/>
  <c r="F20" i="119"/>
  <c r="F21" i="119"/>
  <c r="F22" i="119"/>
  <c r="F23" i="119"/>
  <c r="F24" i="119"/>
  <c r="F25" i="119"/>
  <c r="F26" i="119"/>
  <c r="F27" i="119"/>
  <c r="F28" i="119"/>
  <c r="F29" i="119"/>
  <c r="F30" i="119"/>
  <c r="F31" i="119"/>
  <c r="F32" i="119"/>
  <c r="F33" i="119"/>
  <c r="F34" i="119"/>
  <c r="F35" i="119"/>
  <c r="F36" i="119"/>
  <c r="F38" i="119"/>
  <c r="F39" i="119"/>
  <c r="F40" i="119"/>
  <c r="F41" i="119"/>
  <c r="F42" i="119"/>
  <c r="F43" i="119"/>
  <c r="F44" i="119"/>
  <c r="F45" i="119"/>
  <c r="F46" i="119"/>
  <c r="F47" i="119"/>
  <c r="F48" i="119"/>
  <c r="F49" i="119"/>
  <c r="F50" i="119"/>
  <c r="F12" i="119"/>
  <c r="D26" i="115"/>
  <c r="C26" i="115"/>
  <c r="D24" i="115"/>
  <c r="C24" i="115"/>
  <c r="B24" i="115"/>
  <c r="B23" i="115"/>
  <c r="C19" i="115"/>
  <c r="B19" i="115"/>
  <c r="D26" i="114"/>
  <c r="C26" i="114"/>
  <c r="D24" i="114"/>
  <c r="C24" i="114"/>
  <c r="B24" i="114"/>
  <c r="B23" i="114"/>
  <c r="D19" i="114"/>
  <c r="C19" i="114"/>
  <c r="B19" i="114"/>
  <c r="E41" i="124"/>
  <c r="D26" i="124"/>
  <c r="K26" i="124" s="1"/>
  <c r="L26" i="124" s="1"/>
  <c r="C26" i="124"/>
  <c r="D24" i="124"/>
  <c r="K24" i="124" s="1"/>
  <c r="L24" i="124" s="1"/>
  <c r="C24" i="124"/>
  <c r="B24" i="124"/>
  <c r="B23" i="124"/>
  <c r="D19" i="124"/>
  <c r="D41" i="124" s="1"/>
  <c r="C19" i="124"/>
  <c r="C41" i="124" s="1"/>
  <c r="B19" i="124"/>
  <c r="B41" i="124" s="1"/>
  <c r="E41" i="123"/>
  <c r="D26" i="123"/>
  <c r="K26" i="123" s="1"/>
  <c r="L26" i="123" s="1"/>
  <c r="C26" i="123"/>
  <c r="D24" i="123"/>
  <c r="K24" i="123" s="1"/>
  <c r="L24" i="123" s="1"/>
  <c r="C24" i="123"/>
  <c r="B24" i="123"/>
  <c r="B23" i="123"/>
  <c r="D19" i="123"/>
  <c r="C19" i="123"/>
  <c r="B19" i="123"/>
  <c r="XFD42" i="121"/>
  <c r="E41" i="115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J22" i="129" l="1"/>
  <c r="L12" i="129"/>
  <c r="L22" i="129" s="1"/>
  <c r="N22" i="129"/>
  <c r="P18" i="129"/>
  <c r="P14" i="129"/>
  <c r="P12" i="129"/>
  <c r="P20" i="129"/>
  <c r="P13" i="129"/>
  <c r="P16" i="129"/>
  <c r="P17" i="129"/>
  <c r="P15" i="129"/>
  <c r="P19" i="129"/>
  <c r="P21" i="129"/>
  <c r="E51" i="119"/>
  <c r="K41" i="124"/>
  <c r="L41" i="124" s="1"/>
  <c r="K19" i="124"/>
  <c r="L19" i="124" s="1"/>
  <c r="B41" i="123"/>
  <c r="D41" i="123"/>
  <c r="K41" i="123" s="1"/>
  <c r="L41" i="123" s="1"/>
  <c r="K19" i="123"/>
  <c r="L19" i="123" s="1"/>
  <c r="C41" i="123"/>
  <c r="C37" i="121"/>
  <c r="B37" i="121"/>
  <c r="D32" i="121"/>
  <c r="D30" i="121"/>
  <c r="D14" i="121"/>
  <c r="D41" i="121" s="1"/>
  <c r="C7" i="121"/>
  <c r="C41" i="121" s="1"/>
  <c r="B7" i="121"/>
  <c r="B41" i="121" s="1"/>
  <c r="B41" i="115"/>
  <c r="B41" i="114"/>
  <c r="D41" i="114"/>
  <c r="C41" i="114"/>
  <c r="P22" i="129" l="1"/>
  <c r="C41" i="115"/>
  <c r="D41" i="115"/>
  <c r="D41" i="113"/>
  <c r="C41" i="113"/>
  <c r="B41" i="113"/>
  <c r="G10" i="119" l="1"/>
  <c r="E10" i="119"/>
  <c r="D10" i="119"/>
  <c r="E41" i="113" l="1"/>
  <c r="K41" i="113" s="1"/>
  <c r="L41" i="113" s="1"/>
  <c r="E41" i="114" l="1"/>
  <c r="C3" i="116"/>
  <c r="D3" i="116"/>
  <c r="E3" i="116"/>
  <c r="AO20" i="119" l="1"/>
  <c r="AN20" i="119"/>
  <c r="AM20" i="119"/>
  <c r="AH20" i="119"/>
  <c r="AG20" i="119"/>
  <c r="AF20" i="119"/>
  <c r="AA20" i="119"/>
  <c r="Z20" i="119"/>
  <c r="Y20" i="119"/>
  <c r="T20" i="119"/>
  <c r="S20" i="119"/>
  <c r="R20" i="119"/>
  <c r="M20" i="119"/>
  <c r="L20" i="119"/>
  <c r="K20" i="119"/>
  <c r="AO51" i="119" l="1"/>
  <c r="AN51" i="119"/>
  <c r="AP47" i="119"/>
  <c r="AF47" i="119"/>
  <c r="AI42" i="119"/>
  <c r="E41" i="121"/>
  <c r="AF14" i="119"/>
  <c r="B41" i="120"/>
  <c r="BH50" i="119"/>
  <c r="AP50" i="119"/>
  <c r="AO50" i="119"/>
  <c r="AN50" i="119"/>
  <c r="AM50" i="119"/>
  <c r="AI50" i="119"/>
  <c r="AH50" i="119"/>
  <c r="AG50" i="119"/>
  <c r="AF50" i="119"/>
  <c r="AB50" i="119"/>
  <c r="AA50" i="119"/>
  <c r="Z50" i="119"/>
  <c r="Y50" i="119"/>
  <c r="U50" i="119"/>
  <c r="T50" i="119"/>
  <c r="S50" i="119"/>
  <c r="R50" i="119"/>
  <c r="N50" i="119"/>
  <c r="M50" i="119"/>
  <c r="L50" i="119"/>
  <c r="K50" i="119"/>
  <c r="BH49" i="119"/>
  <c r="AP49" i="119"/>
  <c r="AO49" i="119"/>
  <c r="AN49" i="119"/>
  <c r="AM49" i="119"/>
  <c r="AI49" i="119"/>
  <c r="AH49" i="119"/>
  <c r="AG49" i="119"/>
  <c r="AF49" i="119"/>
  <c r="AB49" i="119"/>
  <c r="AA49" i="119"/>
  <c r="Z49" i="119"/>
  <c r="Y49" i="119"/>
  <c r="U49" i="119"/>
  <c r="T49" i="119"/>
  <c r="S49" i="119"/>
  <c r="R49" i="119"/>
  <c r="N49" i="119"/>
  <c r="M49" i="119"/>
  <c r="L49" i="119"/>
  <c r="K49" i="119"/>
  <c r="BH48" i="119"/>
  <c r="AP48" i="119"/>
  <c r="AO48" i="119"/>
  <c r="AN48" i="119"/>
  <c r="AM48" i="119"/>
  <c r="AI48" i="119"/>
  <c r="AH48" i="119"/>
  <c r="AG48" i="119"/>
  <c r="AF48" i="119"/>
  <c r="AB48" i="119"/>
  <c r="AA48" i="119"/>
  <c r="Z48" i="119"/>
  <c r="Y48" i="119"/>
  <c r="U48" i="119"/>
  <c r="T48" i="119"/>
  <c r="S48" i="119"/>
  <c r="R48" i="119"/>
  <c r="N48" i="119"/>
  <c r="M48" i="119"/>
  <c r="L48" i="119"/>
  <c r="K48" i="119"/>
  <c r="BH47" i="119"/>
  <c r="AO47" i="119"/>
  <c r="AN47" i="119"/>
  <c r="AM47" i="119"/>
  <c r="AI47" i="119"/>
  <c r="AH47" i="119"/>
  <c r="AG47" i="119"/>
  <c r="AA47" i="119"/>
  <c r="Z47" i="119"/>
  <c r="U47" i="119"/>
  <c r="T47" i="119"/>
  <c r="S47" i="119"/>
  <c r="N47" i="119"/>
  <c r="M47" i="119"/>
  <c r="L47" i="119"/>
  <c r="BH46" i="119"/>
  <c r="AP46" i="119"/>
  <c r="AO46" i="119"/>
  <c r="AN46" i="119"/>
  <c r="AM46" i="119"/>
  <c r="AI46" i="119"/>
  <c r="AH46" i="119"/>
  <c r="AG46" i="119"/>
  <c r="AF46" i="119"/>
  <c r="AB46" i="119"/>
  <c r="AA46" i="119"/>
  <c r="Z46" i="119"/>
  <c r="Y46" i="119"/>
  <c r="U46" i="119"/>
  <c r="T46" i="119"/>
  <c r="S46" i="119"/>
  <c r="R46" i="119"/>
  <c r="N46" i="119"/>
  <c r="M46" i="119"/>
  <c r="L46" i="119"/>
  <c r="K46" i="119"/>
  <c r="BH45" i="119"/>
  <c r="AP45" i="119"/>
  <c r="AO45" i="119"/>
  <c r="AN45" i="119"/>
  <c r="AM45" i="119"/>
  <c r="AI45" i="119"/>
  <c r="AH45" i="119"/>
  <c r="AG45" i="119"/>
  <c r="AF45" i="119"/>
  <c r="AB45" i="119"/>
  <c r="AA45" i="119"/>
  <c r="Z45" i="119"/>
  <c r="Y45" i="119"/>
  <c r="U45" i="119"/>
  <c r="T45" i="119"/>
  <c r="S45" i="119"/>
  <c r="R45" i="119"/>
  <c r="N45" i="119"/>
  <c r="M45" i="119"/>
  <c r="L45" i="119"/>
  <c r="K45" i="119"/>
  <c r="BH44" i="119"/>
  <c r="AP44" i="119"/>
  <c r="AO44" i="119"/>
  <c r="AN44" i="119"/>
  <c r="AM44" i="119"/>
  <c r="AI44" i="119"/>
  <c r="AH44" i="119"/>
  <c r="AG44" i="119"/>
  <c r="AF44" i="119"/>
  <c r="AB44" i="119"/>
  <c r="AA44" i="119"/>
  <c r="Z44" i="119"/>
  <c r="Y44" i="119"/>
  <c r="U44" i="119"/>
  <c r="T44" i="119"/>
  <c r="S44" i="119"/>
  <c r="R44" i="119"/>
  <c r="N44" i="119"/>
  <c r="M44" i="119"/>
  <c r="L44" i="119"/>
  <c r="K44" i="119"/>
  <c r="BH43" i="119"/>
  <c r="AP43" i="119"/>
  <c r="AO43" i="119"/>
  <c r="AN43" i="119"/>
  <c r="AM43" i="119"/>
  <c r="AI43" i="119"/>
  <c r="AH43" i="119"/>
  <c r="AG43" i="119"/>
  <c r="AF43" i="119"/>
  <c r="AB43" i="119"/>
  <c r="AA43" i="119"/>
  <c r="Z43" i="119"/>
  <c r="Y43" i="119"/>
  <c r="U43" i="119"/>
  <c r="T43" i="119"/>
  <c r="S43" i="119"/>
  <c r="R43" i="119"/>
  <c r="N43" i="119"/>
  <c r="M43" i="119"/>
  <c r="L43" i="119"/>
  <c r="K43" i="119"/>
  <c r="AO42" i="119"/>
  <c r="AN42" i="119"/>
  <c r="AM42" i="119"/>
  <c r="AH42" i="119"/>
  <c r="AG42" i="119"/>
  <c r="AF42" i="119"/>
  <c r="AA42" i="119"/>
  <c r="Z42" i="119"/>
  <c r="Y42" i="119"/>
  <c r="U42" i="119"/>
  <c r="T42" i="119"/>
  <c r="S42" i="119"/>
  <c r="R42" i="119"/>
  <c r="N42" i="119"/>
  <c r="M42" i="119"/>
  <c r="L42" i="119"/>
  <c r="K42" i="119"/>
  <c r="BH41" i="119"/>
  <c r="AP41" i="119"/>
  <c r="AO41" i="119"/>
  <c r="AN41" i="119"/>
  <c r="AM41" i="119"/>
  <c r="AI41" i="119"/>
  <c r="AH41" i="119"/>
  <c r="AG41" i="119"/>
  <c r="AF41" i="119"/>
  <c r="AB41" i="119"/>
  <c r="AA41" i="119"/>
  <c r="Z41" i="119"/>
  <c r="Y41" i="119"/>
  <c r="U41" i="119"/>
  <c r="T41" i="119"/>
  <c r="S41" i="119"/>
  <c r="R41" i="119"/>
  <c r="N41" i="119"/>
  <c r="M41" i="119"/>
  <c r="L41" i="119"/>
  <c r="K41" i="119"/>
  <c r="BH40" i="119"/>
  <c r="AP40" i="119"/>
  <c r="AO40" i="119"/>
  <c r="AN40" i="119"/>
  <c r="AM40" i="119"/>
  <c r="AI40" i="119"/>
  <c r="AH40" i="119"/>
  <c r="AG40" i="119"/>
  <c r="AF40" i="119"/>
  <c r="AB40" i="119"/>
  <c r="AA40" i="119"/>
  <c r="Z40" i="119"/>
  <c r="Y40" i="119"/>
  <c r="U40" i="119"/>
  <c r="T40" i="119"/>
  <c r="S40" i="119"/>
  <c r="R40" i="119"/>
  <c r="N40" i="119"/>
  <c r="M40" i="119"/>
  <c r="L40" i="119"/>
  <c r="K40" i="119"/>
  <c r="BH39" i="119"/>
  <c r="AP39" i="119"/>
  <c r="AO39" i="119"/>
  <c r="AN39" i="119"/>
  <c r="AM39" i="119"/>
  <c r="AI39" i="119"/>
  <c r="AH39" i="119"/>
  <c r="AG39" i="119"/>
  <c r="AF39" i="119"/>
  <c r="AB39" i="119"/>
  <c r="AA39" i="119"/>
  <c r="Z39" i="119"/>
  <c r="Y39" i="119"/>
  <c r="U39" i="119"/>
  <c r="T39" i="119"/>
  <c r="S39" i="119"/>
  <c r="R39" i="119"/>
  <c r="N39" i="119"/>
  <c r="M39" i="119"/>
  <c r="L39" i="119"/>
  <c r="K39" i="119"/>
  <c r="BH38" i="119"/>
  <c r="CF38" i="119" s="1"/>
  <c r="AP38" i="119"/>
  <c r="AO38" i="119"/>
  <c r="AN38" i="119"/>
  <c r="AM38" i="119"/>
  <c r="AI38" i="119"/>
  <c r="AH38" i="119"/>
  <c r="AG38" i="119"/>
  <c r="AF38" i="119"/>
  <c r="AB38" i="119"/>
  <c r="AA38" i="119"/>
  <c r="Z38" i="119"/>
  <c r="Y38" i="119"/>
  <c r="U38" i="119"/>
  <c r="T38" i="119"/>
  <c r="S38" i="119"/>
  <c r="R38" i="119"/>
  <c r="N38" i="119"/>
  <c r="M38" i="119"/>
  <c r="L38" i="119"/>
  <c r="K38" i="119"/>
  <c r="BH36" i="119"/>
  <c r="AP36" i="119"/>
  <c r="AO36" i="119"/>
  <c r="AN36" i="119"/>
  <c r="AM36" i="119"/>
  <c r="AI36" i="119"/>
  <c r="AH36" i="119"/>
  <c r="AG36" i="119"/>
  <c r="AF36" i="119"/>
  <c r="AB36" i="119"/>
  <c r="AA36" i="119"/>
  <c r="Z36" i="119"/>
  <c r="Y36" i="119"/>
  <c r="U36" i="119"/>
  <c r="T36" i="119"/>
  <c r="S36" i="119"/>
  <c r="R36" i="119"/>
  <c r="N36" i="119"/>
  <c r="M36" i="119"/>
  <c r="L36" i="119"/>
  <c r="K36" i="119"/>
  <c r="BH35" i="119"/>
  <c r="AP35" i="119"/>
  <c r="AO35" i="119"/>
  <c r="AN35" i="119"/>
  <c r="AM35" i="119"/>
  <c r="AI35" i="119"/>
  <c r="AH35" i="119"/>
  <c r="AG35" i="119"/>
  <c r="AF35" i="119"/>
  <c r="AB35" i="119"/>
  <c r="AA35" i="119"/>
  <c r="Z35" i="119"/>
  <c r="Y35" i="119"/>
  <c r="U35" i="119"/>
  <c r="T35" i="119"/>
  <c r="S35" i="119"/>
  <c r="R35" i="119"/>
  <c r="N35" i="119"/>
  <c r="M35" i="119"/>
  <c r="L35" i="119"/>
  <c r="K35" i="119"/>
  <c r="BH34" i="119"/>
  <c r="AP34" i="119"/>
  <c r="AO34" i="119"/>
  <c r="AN34" i="119"/>
  <c r="AM34" i="119"/>
  <c r="AG34" i="119"/>
  <c r="AF34" i="119"/>
  <c r="AA34" i="119"/>
  <c r="Z34" i="119"/>
  <c r="Y34" i="119"/>
  <c r="S34" i="119"/>
  <c r="R34" i="119"/>
  <c r="M34" i="119"/>
  <c r="L34" i="119"/>
  <c r="K34" i="119"/>
  <c r="BH33" i="119"/>
  <c r="AP33" i="119"/>
  <c r="AO33" i="119"/>
  <c r="AN33" i="119"/>
  <c r="AM33" i="119"/>
  <c r="AI33" i="119"/>
  <c r="AG33" i="119"/>
  <c r="AF33" i="119"/>
  <c r="Z33" i="119"/>
  <c r="Y33" i="119"/>
  <c r="U33" i="119"/>
  <c r="S33" i="119"/>
  <c r="R33" i="119"/>
  <c r="L33" i="119"/>
  <c r="K33" i="119"/>
  <c r="BH32" i="119"/>
  <c r="AP32" i="119"/>
  <c r="AO32" i="119"/>
  <c r="AN32" i="119"/>
  <c r="AM32" i="119"/>
  <c r="AI32" i="119"/>
  <c r="AH32" i="119"/>
  <c r="AG32" i="119"/>
  <c r="AF32" i="119"/>
  <c r="AB32" i="119"/>
  <c r="AA32" i="119"/>
  <c r="Z32" i="119"/>
  <c r="Y32" i="119"/>
  <c r="U32" i="119"/>
  <c r="T32" i="119"/>
  <c r="S32" i="119"/>
  <c r="R32" i="119"/>
  <c r="N32" i="119"/>
  <c r="M32" i="119"/>
  <c r="L32" i="119"/>
  <c r="K32" i="119"/>
  <c r="BH31" i="119"/>
  <c r="AP31" i="119"/>
  <c r="AO31" i="119"/>
  <c r="AN31" i="119"/>
  <c r="AM31" i="119"/>
  <c r="AI31" i="119"/>
  <c r="AH31" i="119"/>
  <c r="AG31" i="119"/>
  <c r="AF31" i="119"/>
  <c r="AB31" i="119"/>
  <c r="AA31" i="119"/>
  <c r="Z31" i="119"/>
  <c r="Y31" i="119"/>
  <c r="U31" i="119"/>
  <c r="T31" i="119"/>
  <c r="S31" i="119"/>
  <c r="R31" i="119"/>
  <c r="N31" i="119"/>
  <c r="M31" i="119"/>
  <c r="L31" i="119"/>
  <c r="K31" i="119"/>
  <c r="BH30" i="119"/>
  <c r="AP30" i="119"/>
  <c r="AO30" i="119"/>
  <c r="AN30" i="119"/>
  <c r="AM30" i="119"/>
  <c r="AI30" i="119"/>
  <c r="AH30" i="119"/>
  <c r="AG30" i="119"/>
  <c r="AF30" i="119"/>
  <c r="AB30" i="119"/>
  <c r="AA30" i="119"/>
  <c r="Z30" i="119"/>
  <c r="Y30" i="119"/>
  <c r="U30" i="119"/>
  <c r="T30" i="119"/>
  <c r="S30" i="119"/>
  <c r="R30" i="119"/>
  <c r="N30" i="119"/>
  <c r="M30" i="119"/>
  <c r="L30" i="119"/>
  <c r="K30" i="119"/>
  <c r="BH29" i="119"/>
  <c r="AP29" i="119"/>
  <c r="AO29" i="119"/>
  <c r="AN29" i="119"/>
  <c r="AM29" i="119"/>
  <c r="AG29" i="119"/>
  <c r="AF29" i="119"/>
  <c r="AA29" i="119"/>
  <c r="Z29" i="119"/>
  <c r="Y29" i="119"/>
  <c r="S29" i="119"/>
  <c r="R29" i="119"/>
  <c r="M29" i="119"/>
  <c r="L29" i="119"/>
  <c r="K29" i="119"/>
  <c r="BH28" i="119"/>
  <c r="AP28" i="119"/>
  <c r="AO28" i="119"/>
  <c r="AN28" i="119"/>
  <c r="AM28" i="119"/>
  <c r="AI28" i="119"/>
  <c r="AH28" i="119"/>
  <c r="AG28" i="119"/>
  <c r="AF28" i="119"/>
  <c r="AB28" i="119"/>
  <c r="AA28" i="119"/>
  <c r="Z28" i="119"/>
  <c r="Y28" i="119"/>
  <c r="U28" i="119"/>
  <c r="T28" i="119"/>
  <c r="S28" i="119"/>
  <c r="R28" i="119"/>
  <c r="N28" i="119"/>
  <c r="M28" i="119"/>
  <c r="L28" i="119"/>
  <c r="K28" i="119"/>
  <c r="BH27" i="119"/>
  <c r="CF27" i="119" s="1"/>
  <c r="AP27" i="119"/>
  <c r="AO27" i="119"/>
  <c r="AN27" i="119"/>
  <c r="AM27" i="119"/>
  <c r="AI27" i="119"/>
  <c r="AH27" i="119"/>
  <c r="AG27" i="119"/>
  <c r="AF27" i="119"/>
  <c r="AB27" i="119"/>
  <c r="AA27" i="119"/>
  <c r="Z27" i="119"/>
  <c r="Y27" i="119"/>
  <c r="U27" i="119"/>
  <c r="T27" i="119"/>
  <c r="S27" i="119"/>
  <c r="R27" i="119"/>
  <c r="N27" i="119"/>
  <c r="M27" i="119"/>
  <c r="L27" i="119"/>
  <c r="K27" i="119"/>
  <c r="BH26" i="119"/>
  <c r="AP26" i="119"/>
  <c r="AO26" i="119"/>
  <c r="AN26" i="119"/>
  <c r="AM26" i="119"/>
  <c r="AI26" i="119"/>
  <c r="AH26" i="119"/>
  <c r="AG26" i="119"/>
  <c r="AF26" i="119"/>
  <c r="AB26" i="119"/>
  <c r="AA26" i="119"/>
  <c r="Z26" i="119"/>
  <c r="Y26" i="119"/>
  <c r="U26" i="119"/>
  <c r="T26" i="119"/>
  <c r="S26" i="119"/>
  <c r="R26" i="119"/>
  <c r="N26" i="119"/>
  <c r="M26" i="119"/>
  <c r="L26" i="119"/>
  <c r="K26" i="119"/>
  <c r="BH25" i="119"/>
  <c r="AP25" i="119"/>
  <c r="AO25" i="119"/>
  <c r="AN25" i="119"/>
  <c r="AM25" i="119"/>
  <c r="AI25" i="119"/>
  <c r="AH25" i="119"/>
  <c r="AG25" i="119"/>
  <c r="AF25" i="119"/>
  <c r="AB25" i="119"/>
  <c r="AA25" i="119"/>
  <c r="Z25" i="119"/>
  <c r="Y25" i="119"/>
  <c r="U25" i="119"/>
  <c r="T25" i="119"/>
  <c r="S25" i="119"/>
  <c r="R25" i="119"/>
  <c r="N25" i="119"/>
  <c r="M25" i="119"/>
  <c r="L25" i="119"/>
  <c r="K25" i="119"/>
  <c r="BH24" i="119"/>
  <c r="AP24" i="119"/>
  <c r="AO24" i="119"/>
  <c r="AN24" i="119"/>
  <c r="AM24" i="119"/>
  <c r="AI24" i="119"/>
  <c r="AH24" i="119"/>
  <c r="AG24" i="119"/>
  <c r="AF24" i="119"/>
  <c r="AB24" i="119"/>
  <c r="AA24" i="119"/>
  <c r="Z24" i="119"/>
  <c r="Y24" i="119"/>
  <c r="U24" i="119"/>
  <c r="T24" i="119"/>
  <c r="S24" i="119"/>
  <c r="R24" i="119"/>
  <c r="N24" i="119"/>
  <c r="M24" i="119"/>
  <c r="L24" i="119"/>
  <c r="K24" i="119"/>
  <c r="BH23" i="119"/>
  <c r="AP23" i="119"/>
  <c r="AO23" i="119"/>
  <c r="AN23" i="119"/>
  <c r="AM23" i="119"/>
  <c r="AI23" i="119"/>
  <c r="AH23" i="119"/>
  <c r="AG23" i="119"/>
  <c r="AF23" i="119"/>
  <c r="AB23" i="119"/>
  <c r="AA23" i="119"/>
  <c r="Z23" i="119"/>
  <c r="Y23" i="119"/>
  <c r="U23" i="119"/>
  <c r="T23" i="119"/>
  <c r="S23" i="119"/>
  <c r="R23" i="119"/>
  <c r="N23" i="119"/>
  <c r="M23" i="119"/>
  <c r="L23" i="119"/>
  <c r="K23" i="119"/>
  <c r="BH22" i="119"/>
  <c r="AP22" i="119"/>
  <c r="AO22" i="119"/>
  <c r="AN22" i="119"/>
  <c r="AM22" i="119"/>
  <c r="AI22" i="119"/>
  <c r="AH22" i="119"/>
  <c r="AG22" i="119"/>
  <c r="AF22" i="119"/>
  <c r="AB22" i="119"/>
  <c r="AA22" i="119"/>
  <c r="Z22" i="119"/>
  <c r="Y22" i="119"/>
  <c r="U22" i="119"/>
  <c r="T22" i="119"/>
  <c r="S22" i="119"/>
  <c r="R22" i="119"/>
  <c r="N22" i="119"/>
  <c r="M22" i="119"/>
  <c r="L22" i="119"/>
  <c r="K22" i="119"/>
  <c r="BH21" i="119"/>
  <c r="AP21" i="119"/>
  <c r="AO21" i="119"/>
  <c r="AN21" i="119"/>
  <c r="AM21" i="119"/>
  <c r="AI21" i="119"/>
  <c r="AH21" i="119"/>
  <c r="AG21" i="119"/>
  <c r="AF21" i="119"/>
  <c r="AB21" i="119"/>
  <c r="AA21" i="119"/>
  <c r="Z21" i="119"/>
  <c r="Y21" i="119"/>
  <c r="U21" i="119"/>
  <c r="T21" i="119"/>
  <c r="S21" i="119"/>
  <c r="R21" i="119"/>
  <c r="N21" i="119"/>
  <c r="M21" i="119"/>
  <c r="L21" i="119"/>
  <c r="K21" i="119"/>
  <c r="BH20" i="119"/>
  <c r="AP20" i="119"/>
  <c r="AI20" i="119"/>
  <c r="AB20" i="119"/>
  <c r="U20" i="119"/>
  <c r="N20" i="119"/>
  <c r="BH19" i="119"/>
  <c r="AP19" i="119"/>
  <c r="AO19" i="119"/>
  <c r="AN19" i="119"/>
  <c r="AM19" i="119"/>
  <c r="AI19" i="119"/>
  <c r="AH19" i="119"/>
  <c r="AG19" i="119"/>
  <c r="AF19" i="119"/>
  <c r="AB19" i="119"/>
  <c r="AA19" i="119"/>
  <c r="Z19" i="119"/>
  <c r="Y19" i="119"/>
  <c r="U19" i="119"/>
  <c r="T19" i="119"/>
  <c r="S19" i="119"/>
  <c r="R19" i="119"/>
  <c r="N19" i="119"/>
  <c r="M19" i="119"/>
  <c r="L19" i="119"/>
  <c r="K19" i="119"/>
  <c r="BH18" i="119"/>
  <c r="AP18" i="119"/>
  <c r="AO18" i="119"/>
  <c r="AN18" i="119"/>
  <c r="AM18" i="119"/>
  <c r="AI18" i="119"/>
  <c r="AH18" i="119"/>
  <c r="AG18" i="119"/>
  <c r="AF18" i="119"/>
  <c r="AB18" i="119"/>
  <c r="AA18" i="119"/>
  <c r="Z18" i="119"/>
  <c r="Y18" i="119"/>
  <c r="U18" i="119"/>
  <c r="T18" i="119"/>
  <c r="S18" i="119"/>
  <c r="R18" i="119"/>
  <c r="N18" i="119"/>
  <c r="M18" i="119"/>
  <c r="L18" i="119"/>
  <c r="K18" i="119"/>
  <c r="BH17" i="119"/>
  <c r="AP17" i="119"/>
  <c r="AO17" i="119"/>
  <c r="AN17" i="119"/>
  <c r="AM17" i="119"/>
  <c r="AI17" i="119"/>
  <c r="AH17" i="119"/>
  <c r="AG17" i="119"/>
  <c r="AF17" i="119"/>
  <c r="AB17" i="119"/>
  <c r="AA17" i="119"/>
  <c r="Z17" i="119"/>
  <c r="Y17" i="119"/>
  <c r="U17" i="119"/>
  <c r="T17" i="119"/>
  <c r="S17" i="119"/>
  <c r="R17" i="119"/>
  <c r="N17" i="119"/>
  <c r="M17" i="119"/>
  <c r="L17" i="119"/>
  <c r="K17" i="119"/>
  <c r="BH16" i="119"/>
  <c r="AP16" i="119"/>
  <c r="AO16" i="119"/>
  <c r="AN16" i="119"/>
  <c r="AM16" i="119"/>
  <c r="AI16" i="119"/>
  <c r="AH16" i="119"/>
  <c r="AG16" i="119"/>
  <c r="AF16" i="119"/>
  <c r="AB16" i="119"/>
  <c r="AA16" i="119"/>
  <c r="Z16" i="119"/>
  <c r="Y16" i="119"/>
  <c r="U16" i="119"/>
  <c r="T16" i="119"/>
  <c r="S16" i="119"/>
  <c r="R16" i="119"/>
  <c r="N16" i="119"/>
  <c r="M16" i="119"/>
  <c r="L16" i="119"/>
  <c r="K16" i="119"/>
  <c r="BH15" i="119"/>
  <c r="AP15" i="119"/>
  <c r="AO15" i="119"/>
  <c r="AN15" i="119"/>
  <c r="AM15" i="119"/>
  <c r="AI15" i="119"/>
  <c r="AH15" i="119"/>
  <c r="AG15" i="119"/>
  <c r="AF15" i="119"/>
  <c r="AB15" i="119"/>
  <c r="AA15" i="119"/>
  <c r="Z15" i="119"/>
  <c r="Y15" i="119"/>
  <c r="U15" i="119"/>
  <c r="T15" i="119"/>
  <c r="S15" i="119"/>
  <c r="R15" i="119"/>
  <c r="N15" i="119"/>
  <c r="M15" i="119"/>
  <c r="L15" i="119"/>
  <c r="K15" i="119"/>
  <c r="AO14" i="119"/>
  <c r="AN14" i="119"/>
  <c r="AI14" i="119"/>
  <c r="AH14" i="119"/>
  <c r="AG14" i="119"/>
  <c r="AA14" i="119"/>
  <c r="Z14" i="119"/>
  <c r="U14" i="119"/>
  <c r="T14" i="119"/>
  <c r="S14" i="119"/>
  <c r="R14" i="119"/>
  <c r="N14" i="119"/>
  <c r="M14" i="119"/>
  <c r="L14" i="119"/>
  <c r="K14" i="119"/>
  <c r="BH13" i="119"/>
  <c r="AP13" i="119"/>
  <c r="AO13" i="119"/>
  <c r="AN13" i="119"/>
  <c r="AM13" i="119"/>
  <c r="AI13" i="119"/>
  <c r="AH13" i="119"/>
  <c r="AG13" i="119"/>
  <c r="AF13" i="119"/>
  <c r="AB13" i="119"/>
  <c r="AA13" i="119"/>
  <c r="Z13" i="119"/>
  <c r="Y13" i="119"/>
  <c r="U13" i="119"/>
  <c r="T13" i="119"/>
  <c r="S13" i="119"/>
  <c r="R13" i="119"/>
  <c r="N13" i="119"/>
  <c r="M13" i="119"/>
  <c r="L13" i="119"/>
  <c r="K13" i="119"/>
  <c r="BH12" i="119"/>
  <c r="CF12" i="119" s="1"/>
  <c r="AP12" i="119"/>
  <c r="AO12" i="119"/>
  <c r="AN12" i="119"/>
  <c r="AM12" i="119"/>
  <c r="AI12" i="119"/>
  <c r="AH12" i="119"/>
  <c r="AG12" i="119"/>
  <c r="AF12" i="119"/>
  <c r="AB12" i="119"/>
  <c r="AA12" i="119"/>
  <c r="Z12" i="119"/>
  <c r="Y12" i="119"/>
  <c r="U12" i="119"/>
  <c r="T12" i="119"/>
  <c r="S12" i="119"/>
  <c r="R12" i="119"/>
  <c r="N12" i="119"/>
  <c r="M12" i="119"/>
  <c r="L12" i="119"/>
  <c r="K12" i="119"/>
  <c r="F10" i="119"/>
  <c r="C49" i="116"/>
  <c r="E48" i="116"/>
  <c r="D48" i="116"/>
  <c r="E47" i="116"/>
  <c r="D47" i="116"/>
  <c r="E46" i="116"/>
  <c r="D46" i="116"/>
  <c r="E45" i="116"/>
  <c r="D45" i="116"/>
  <c r="E44" i="116"/>
  <c r="D44" i="116"/>
  <c r="E43" i="116"/>
  <c r="D43" i="116"/>
  <c r="E42" i="116"/>
  <c r="D42" i="116"/>
  <c r="E41" i="116"/>
  <c r="D41" i="116"/>
  <c r="E40" i="116"/>
  <c r="D40" i="116"/>
  <c r="E39" i="116"/>
  <c r="D39" i="116"/>
  <c r="E38" i="116"/>
  <c r="D38" i="116"/>
  <c r="E37" i="116"/>
  <c r="D37" i="116"/>
  <c r="E36" i="116"/>
  <c r="D36" i="116"/>
  <c r="E35" i="116"/>
  <c r="D35" i="116"/>
  <c r="E34" i="116"/>
  <c r="D34" i="116"/>
  <c r="E32" i="116"/>
  <c r="D32" i="116"/>
  <c r="E30" i="116"/>
  <c r="D30" i="116"/>
  <c r="E29" i="116"/>
  <c r="D29" i="116"/>
  <c r="E28" i="116"/>
  <c r="D28" i="116"/>
  <c r="E26" i="116"/>
  <c r="D26" i="116"/>
  <c r="E25" i="116"/>
  <c r="D25" i="116"/>
  <c r="E24" i="116"/>
  <c r="D24" i="116"/>
  <c r="E23" i="116"/>
  <c r="D23" i="116"/>
  <c r="E22" i="116"/>
  <c r="D22" i="116"/>
  <c r="E21" i="116"/>
  <c r="D21" i="116"/>
  <c r="E20" i="116"/>
  <c r="D20" i="116"/>
  <c r="E19" i="116"/>
  <c r="D19" i="116"/>
  <c r="E18" i="116"/>
  <c r="D18" i="116"/>
  <c r="E17" i="116"/>
  <c r="D17" i="116"/>
  <c r="E16" i="116"/>
  <c r="D16" i="116"/>
  <c r="E15" i="116"/>
  <c r="D15" i="116"/>
  <c r="E14" i="116"/>
  <c r="D14" i="116"/>
  <c r="E13" i="116"/>
  <c r="D13" i="116"/>
  <c r="E12" i="116"/>
  <c r="D12" i="116"/>
  <c r="E11" i="116"/>
  <c r="D11" i="116"/>
  <c r="E10" i="116"/>
  <c r="D10" i="116"/>
  <c r="E9" i="116"/>
  <c r="D9" i="116"/>
  <c r="R51" i="119"/>
  <c r="AI34" i="119"/>
  <c r="AH34" i="119"/>
  <c r="E31" i="116"/>
  <c r="AH33" i="119"/>
  <c r="E27" i="116"/>
  <c r="L51" i="119"/>
  <c r="Y47" i="119"/>
  <c r="AA33" i="119"/>
  <c r="D27" i="116"/>
  <c r="AA51" i="119"/>
  <c r="D51" i="119" l="1"/>
  <c r="BT20" i="119"/>
  <c r="CF20" i="119"/>
  <c r="BT27" i="119"/>
  <c r="BT41" i="119"/>
  <c r="CF41" i="119"/>
  <c r="BT45" i="119"/>
  <c r="CF45" i="119"/>
  <c r="BT32" i="119"/>
  <c r="CF32" i="119"/>
  <c r="BT38" i="119"/>
  <c r="BT48" i="119"/>
  <c r="CF48" i="119"/>
  <c r="BT19" i="119"/>
  <c r="CF19" i="119"/>
  <c r="BT26" i="119"/>
  <c r="CF26" i="119"/>
  <c r="BT35" i="119"/>
  <c r="CF35" i="119"/>
  <c r="BT24" i="119"/>
  <c r="CF24" i="119"/>
  <c r="BT44" i="119"/>
  <c r="CF44" i="119"/>
  <c r="BT50" i="119"/>
  <c r="CF50" i="119"/>
  <c r="BT33" i="119"/>
  <c r="CF33" i="119"/>
  <c r="BT21" i="119"/>
  <c r="CF21" i="119"/>
  <c r="BT28" i="119"/>
  <c r="CF28" i="119"/>
  <c r="BT34" i="119"/>
  <c r="CF34" i="119"/>
  <c r="BT46" i="119"/>
  <c r="CF46" i="119"/>
  <c r="BT17" i="119"/>
  <c r="CF17" i="119"/>
  <c r="BT40" i="119"/>
  <c r="CF40" i="119"/>
  <c r="BT16" i="119"/>
  <c r="CF16" i="119"/>
  <c r="BT29" i="119"/>
  <c r="CF29" i="119"/>
  <c r="BT13" i="119"/>
  <c r="CF13" i="119"/>
  <c r="BT23" i="119"/>
  <c r="CF23" i="119"/>
  <c r="BT36" i="119"/>
  <c r="CF36" i="119"/>
  <c r="BT31" i="119"/>
  <c r="CF31" i="119"/>
  <c r="BT47" i="119"/>
  <c r="CF47" i="119"/>
  <c r="BT12" i="119"/>
  <c r="BT18" i="119"/>
  <c r="CF18" i="119"/>
  <c r="BT25" i="119"/>
  <c r="CF25" i="119"/>
  <c r="BT15" i="119"/>
  <c r="CF15" i="119"/>
  <c r="BT39" i="119"/>
  <c r="CF39" i="119"/>
  <c r="BT43" i="119"/>
  <c r="CF43" i="119"/>
  <c r="BT49" i="119"/>
  <c r="CF49" i="119"/>
  <c r="BT22" i="119"/>
  <c r="CF22" i="119"/>
  <c r="BT30" i="119"/>
  <c r="CF30" i="119"/>
  <c r="C2" i="116"/>
  <c r="C4" i="116" s="1"/>
  <c r="BH51" i="119"/>
  <c r="AP51" i="119"/>
  <c r="AQ37" i="119" s="1"/>
  <c r="AB42" i="119"/>
  <c r="K51" i="119"/>
  <c r="D33" i="116"/>
  <c r="Y14" i="119"/>
  <c r="AM14" i="119"/>
  <c r="N29" i="119"/>
  <c r="AB29" i="119"/>
  <c r="N34" i="119"/>
  <c r="AB34" i="119"/>
  <c r="BH42" i="119"/>
  <c r="S51" i="119"/>
  <c r="AG51" i="119"/>
  <c r="K47" i="119"/>
  <c r="E33" i="116"/>
  <c r="E49" i="116" s="1"/>
  <c r="E2" i="116" s="1"/>
  <c r="E4" i="116" s="1"/>
  <c r="M33" i="119"/>
  <c r="AP42" i="119"/>
  <c r="AH51" i="119"/>
  <c r="U51" i="119"/>
  <c r="N33" i="119"/>
  <c r="AB33" i="119"/>
  <c r="AB47" i="119"/>
  <c r="AB14" i="119"/>
  <c r="AP14" i="119"/>
  <c r="F51" i="119"/>
  <c r="T29" i="119"/>
  <c r="AH29" i="119"/>
  <c r="T34" i="119"/>
  <c r="R47" i="119"/>
  <c r="D31" i="116"/>
  <c r="BH14" i="119"/>
  <c r="U29" i="119"/>
  <c r="AI29" i="119"/>
  <c r="U34" i="119"/>
  <c r="Z51" i="119"/>
  <c r="N51" i="119"/>
  <c r="T33" i="119"/>
  <c r="M51" i="119"/>
  <c r="O37" i="119" l="1"/>
  <c r="G51" i="119"/>
  <c r="H33" i="119" s="1"/>
  <c r="BT14" i="119"/>
  <c r="CF14" i="119"/>
  <c r="BT42" i="119"/>
  <c r="CF42" i="119"/>
  <c r="T51" i="119"/>
  <c r="O20" i="119"/>
  <c r="AB51" i="119"/>
  <c r="AC37" i="119" s="1"/>
  <c r="D49" i="116"/>
  <c r="D2" i="116" s="1"/>
  <c r="D4" i="116" s="1"/>
  <c r="F4" i="116" s="1"/>
  <c r="O13" i="119"/>
  <c r="O17" i="119"/>
  <c r="O50" i="119"/>
  <c r="O40" i="119"/>
  <c r="O43" i="119"/>
  <c r="O36" i="119"/>
  <c r="O42" i="119"/>
  <c r="O26" i="119"/>
  <c r="O23" i="119"/>
  <c r="O35" i="119"/>
  <c r="O47" i="119"/>
  <c r="O32" i="119"/>
  <c r="O15" i="119"/>
  <c r="O22" i="119"/>
  <c r="O24" i="119"/>
  <c r="O46" i="119"/>
  <c r="O44" i="119"/>
  <c r="O30" i="119"/>
  <c r="O25" i="119"/>
  <c r="O14" i="119"/>
  <c r="O18" i="119"/>
  <c r="O34" i="119"/>
  <c r="O27" i="119"/>
  <c r="O38" i="119"/>
  <c r="O29" i="119"/>
  <c r="O39" i="119"/>
  <c r="O45" i="119"/>
  <c r="O12" i="119"/>
  <c r="O31" i="119"/>
  <c r="O28" i="119"/>
  <c r="O41" i="119"/>
  <c r="O48" i="119"/>
  <c r="O21" i="119"/>
  <c r="O19" i="119"/>
  <c r="O16" i="119"/>
  <c r="O49" i="119"/>
  <c r="O33" i="119"/>
  <c r="AF51" i="119"/>
  <c r="AM51" i="119"/>
  <c r="AQ14" i="119" s="1"/>
  <c r="Y51" i="119"/>
  <c r="AI51" i="119"/>
  <c r="AJ37" i="119" s="1"/>
  <c r="H12" i="119" l="1"/>
  <c r="V24" i="119"/>
  <c r="V37" i="119"/>
  <c r="H37" i="119"/>
  <c r="H38" i="119"/>
  <c r="H26" i="119"/>
  <c r="H27" i="119"/>
  <c r="H22" i="119"/>
  <c r="H28" i="119"/>
  <c r="H29" i="119"/>
  <c r="V28" i="119"/>
  <c r="V41" i="119"/>
  <c r="H13" i="119"/>
  <c r="CF51" i="119"/>
  <c r="V15" i="119"/>
  <c r="V27" i="119"/>
  <c r="V23" i="119"/>
  <c r="H24" i="119"/>
  <c r="H44" i="119"/>
  <c r="H34" i="119"/>
  <c r="H19" i="119"/>
  <c r="H25" i="119"/>
  <c r="H48" i="119"/>
  <c r="H41" i="119"/>
  <c r="V17" i="119"/>
  <c r="V26" i="119"/>
  <c r="H14" i="119"/>
  <c r="H20" i="119"/>
  <c r="H18" i="119"/>
  <c r="H49" i="119"/>
  <c r="H40" i="119"/>
  <c r="V22" i="119"/>
  <c r="H47" i="119"/>
  <c r="H17" i="119"/>
  <c r="V42" i="119"/>
  <c r="V39" i="119"/>
  <c r="V45" i="119"/>
  <c r="V20" i="119"/>
  <c r="V38" i="119"/>
  <c r="H43" i="119"/>
  <c r="H15" i="119"/>
  <c r="V13" i="119"/>
  <c r="V29" i="119"/>
  <c r="V12" i="119"/>
  <c r="V46" i="119"/>
  <c r="V31" i="119"/>
  <c r="H30" i="119"/>
  <c r="V19" i="119"/>
  <c r="V44" i="119"/>
  <c r="V14" i="119"/>
  <c r="V50" i="119"/>
  <c r="H35" i="119"/>
  <c r="H16" i="119"/>
  <c r="V43" i="119"/>
  <c r="V33" i="119"/>
  <c r="V49" i="119"/>
  <c r="V35" i="119"/>
  <c r="V18" i="119"/>
  <c r="V36" i="119"/>
  <c r="V16" i="119"/>
  <c r="V32" i="119"/>
  <c r="V25" i="119"/>
  <c r="V21" i="119"/>
  <c r="H36" i="119"/>
  <c r="H32" i="119"/>
  <c r="H50" i="119"/>
  <c r="V34" i="119"/>
  <c r="H39" i="119"/>
  <c r="H45" i="119"/>
  <c r="V48" i="119"/>
  <c r="H31" i="119"/>
  <c r="V40" i="119"/>
  <c r="V47" i="119"/>
  <c r="H21" i="119"/>
  <c r="H46" i="119"/>
  <c r="V30" i="119"/>
  <c r="BT51" i="119"/>
  <c r="H23" i="119"/>
  <c r="H42" i="119"/>
  <c r="AJ20" i="119"/>
  <c r="AJ49" i="119"/>
  <c r="AJ33" i="119"/>
  <c r="AJ38" i="119"/>
  <c r="AJ30" i="119"/>
  <c r="AJ25" i="119"/>
  <c r="AC27" i="119"/>
  <c r="AC20" i="119"/>
  <c r="AQ20" i="119"/>
  <c r="AJ31" i="119"/>
  <c r="AJ21" i="119"/>
  <c r="AC19" i="119"/>
  <c r="AC34" i="119"/>
  <c r="AC33" i="119"/>
  <c r="AJ29" i="119"/>
  <c r="AJ50" i="119"/>
  <c r="AC46" i="119"/>
  <c r="AC23" i="119"/>
  <c r="AC13" i="119"/>
  <c r="AJ26" i="119"/>
  <c r="AC38" i="119"/>
  <c r="AC35" i="119"/>
  <c r="AC39" i="119"/>
  <c r="AJ36" i="119"/>
  <c r="AC48" i="119"/>
  <c r="AC17" i="119"/>
  <c r="AJ16" i="119"/>
  <c r="AC47" i="119"/>
  <c r="AC40" i="119"/>
  <c r="AC16" i="119"/>
  <c r="AC50" i="119"/>
  <c r="AC45" i="119"/>
  <c r="AC31" i="119"/>
  <c r="AC44" i="119"/>
  <c r="AC42" i="119"/>
  <c r="AJ47" i="119"/>
  <c r="AJ40" i="119"/>
  <c r="AJ44" i="119"/>
  <c r="AC36" i="119"/>
  <c r="AC14" i="119"/>
  <c r="AJ48" i="119"/>
  <c r="AC15" i="119"/>
  <c r="AJ14" i="119"/>
  <c r="AC29" i="119"/>
  <c r="AC24" i="119"/>
  <c r="AJ15" i="119"/>
  <c r="AJ19" i="119"/>
  <c r="AJ28" i="119"/>
  <c r="AJ22" i="119"/>
  <c r="AJ46" i="119"/>
  <c r="AJ45" i="119"/>
  <c r="AJ42" i="119"/>
  <c r="AC43" i="119"/>
  <c r="AJ43" i="119"/>
  <c r="AC30" i="119"/>
  <c r="AQ33" i="119"/>
  <c r="AQ16" i="119"/>
  <c r="AQ18" i="119"/>
  <c r="AQ46" i="119"/>
  <c r="AQ35" i="119"/>
  <c r="AQ43" i="119"/>
  <c r="AQ38" i="119"/>
  <c r="AQ26" i="119"/>
  <c r="AQ42" i="119"/>
  <c r="AQ45" i="119"/>
  <c r="AQ50" i="119"/>
  <c r="AQ36" i="119"/>
  <c r="AQ41" i="119"/>
  <c r="AQ25" i="119"/>
  <c r="AQ15" i="119"/>
  <c r="AQ47" i="119"/>
  <c r="AQ17" i="119"/>
  <c r="AQ28" i="119"/>
  <c r="AQ30" i="119"/>
  <c r="AQ40" i="119"/>
  <c r="AQ27" i="119"/>
  <c r="AQ13" i="119"/>
  <c r="AQ21" i="119"/>
  <c r="AQ31" i="119"/>
  <c r="AQ24" i="119"/>
  <c r="AQ29" i="119"/>
  <c r="AQ34" i="119"/>
  <c r="AQ48" i="119"/>
  <c r="AQ23" i="119"/>
  <c r="AQ12" i="119"/>
  <c r="AQ49" i="119"/>
  <c r="AQ39" i="119"/>
  <c r="AQ32" i="119"/>
  <c r="AQ44" i="119"/>
  <c r="AQ22" i="119"/>
  <c r="AQ19" i="119"/>
  <c r="AJ32" i="119"/>
  <c r="AC26" i="119"/>
  <c r="AC41" i="119"/>
  <c r="AC22" i="119"/>
  <c r="AJ17" i="119"/>
  <c r="AC49" i="119"/>
  <c r="AJ23" i="119"/>
  <c r="AJ24" i="119"/>
  <c r="AJ27" i="119"/>
  <c r="AJ41" i="119"/>
  <c r="AC25" i="119"/>
  <c r="AC21" i="119"/>
  <c r="AJ34" i="119"/>
  <c r="AJ39" i="119"/>
  <c r="AJ12" i="119"/>
  <c r="AC32" i="119"/>
  <c r="AC18" i="119"/>
  <c r="AJ18" i="119"/>
  <c r="AC28" i="119"/>
  <c r="AJ13" i="119"/>
  <c r="AC12" i="119"/>
  <c r="AJ35" i="119"/>
  <c r="I21" i="119" l="1"/>
  <c r="AK21" i="119" s="1"/>
  <c r="H51" i="119"/>
  <c r="I37" i="119"/>
  <c r="I50" i="119"/>
  <c r="AK50" i="119" s="1"/>
  <c r="I24" i="119"/>
  <c r="P24" i="119" s="1"/>
  <c r="I36" i="119"/>
  <c r="AR36" i="119" s="1"/>
  <c r="I42" i="119"/>
  <c r="AR42" i="119" s="1"/>
  <c r="I49" i="119"/>
  <c r="W49" i="119" s="1"/>
  <c r="I18" i="119"/>
  <c r="P18" i="119" s="1"/>
  <c r="I28" i="119"/>
  <c r="W28" i="119" s="1"/>
  <c r="I32" i="119"/>
  <c r="AR32" i="119" s="1"/>
  <c r="I40" i="119"/>
  <c r="AK40" i="119" s="1"/>
  <c r="I20" i="119"/>
  <c r="P20" i="119" s="1"/>
  <c r="I43" i="119"/>
  <c r="W43" i="119" s="1"/>
  <c r="I41" i="119"/>
  <c r="W41" i="119" s="1"/>
  <c r="I22" i="119"/>
  <c r="W22" i="119" s="1"/>
  <c r="I17" i="119"/>
  <c r="AR17" i="119" s="1"/>
  <c r="I47" i="119"/>
  <c r="AR47" i="119" s="1"/>
  <c r="I23" i="119"/>
  <c r="P23" i="119" s="1"/>
  <c r="I46" i="119"/>
  <c r="AD46" i="119" s="1"/>
  <c r="I31" i="119"/>
  <c r="AD31" i="119" s="1"/>
  <c r="I27" i="119"/>
  <c r="W27" i="119" s="1"/>
  <c r="I25" i="119"/>
  <c r="P25" i="119" s="1"/>
  <c r="I16" i="119"/>
  <c r="AD16" i="119" s="1"/>
  <c r="I19" i="119"/>
  <c r="AK19" i="119" s="1"/>
  <c r="I39" i="119"/>
  <c r="P39" i="119" s="1"/>
  <c r="I35" i="119"/>
  <c r="AR35" i="119" s="1"/>
  <c r="I34" i="119"/>
  <c r="P34" i="119" s="1"/>
  <c r="I12" i="119"/>
  <c r="AR12" i="119" s="1"/>
  <c r="I30" i="119"/>
  <c r="P30" i="119" s="1"/>
  <c r="I13" i="119"/>
  <c r="AR13" i="119" s="1"/>
  <c r="I14" i="119"/>
  <c r="AR14" i="119" s="1"/>
  <c r="I29" i="119"/>
  <c r="W29" i="119" s="1"/>
  <c r="I15" i="119"/>
  <c r="W15" i="119" s="1"/>
  <c r="I48" i="119"/>
  <c r="AK48" i="119" s="1"/>
  <c r="I26" i="119"/>
  <c r="AK26" i="119" s="1"/>
  <c r="I45" i="119"/>
  <c r="AR45" i="119" s="1"/>
  <c r="I38" i="119"/>
  <c r="P38" i="119" s="1"/>
  <c r="I44" i="119"/>
  <c r="W44" i="119" s="1"/>
  <c r="I33" i="119"/>
  <c r="AD33" i="119" s="1"/>
  <c r="AR37" i="119" l="1"/>
  <c r="P37" i="119"/>
  <c r="W37" i="119"/>
  <c r="AD37" i="119"/>
  <c r="AK37" i="119"/>
  <c r="AR26" i="119"/>
  <c r="P26" i="119"/>
  <c r="AD26" i="119"/>
  <c r="W26" i="119"/>
  <c r="W24" i="119"/>
  <c r="AK33" i="119"/>
  <c r="AR23" i="119"/>
  <c r="W31" i="119"/>
  <c r="AR33" i="119"/>
  <c r="AK17" i="119"/>
  <c r="W25" i="119"/>
  <c r="AD19" i="119"/>
  <c r="AD42" i="119"/>
  <c r="P19" i="119"/>
  <c r="W13" i="119"/>
  <c r="AK44" i="119"/>
  <c r="W33" i="119"/>
  <c r="P14" i="119"/>
  <c r="AK12" i="119"/>
  <c r="AD43" i="119"/>
  <c r="AD12" i="119"/>
  <c r="P47" i="119"/>
  <c r="AD14" i="119"/>
  <c r="P33" i="119"/>
  <c r="P48" i="119"/>
  <c r="P17" i="119"/>
  <c r="P40" i="119"/>
  <c r="AK24" i="119"/>
  <c r="AD40" i="119"/>
  <c r="AR24" i="119"/>
  <c r="W12" i="119"/>
  <c r="AK14" i="119"/>
  <c r="AK47" i="119"/>
  <c r="AR43" i="119"/>
  <c r="W40" i="119"/>
  <c r="AD24" i="119"/>
  <c r="AR25" i="119"/>
  <c r="AR40" i="119"/>
  <c r="AD17" i="119"/>
  <c r="W19" i="119"/>
  <c r="AD25" i="119"/>
  <c r="W17" i="119"/>
  <c r="AR19" i="119"/>
  <c r="AK25" i="119"/>
  <c r="AK13" i="119"/>
  <c r="P49" i="119"/>
  <c r="P29" i="119"/>
  <c r="P41" i="119"/>
  <c r="AD20" i="119"/>
  <c r="P28" i="119"/>
  <c r="AK36" i="119"/>
  <c r="AK42" i="119"/>
  <c r="AR31" i="119"/>
  <c r="AK43" i="119"/>
  <c r="P13" i="119"/>
  <c r="P32" i="119"/>
  <c r="W14" i="119"/>
  <c r="W36" i="119"/>
  <c r="AD48" i="119"/>
  <c r="W42" i="119"/>
  <c r="AR30" i="119"/>
  <c r="P43" i="119"/>
  <c r="AR44" i="119"/>
  <c r="P12" i="119"/>
  <c r="W32" i="119"/>
  <c r="P15" i="119"/>
  <c r="W48" i="119"/>
  <c r="P42" i="119"/>
  <c r="AK30" i="119"/>
  <c r="AD32" i="119"/>
  <c r="AD36" i="119"/>
  <c r="AD47" i="119"/>
  <c r="AD35" i="119"/>
  <c r="AK32" i="119"/>
  <c r="AR50" i="119"/>
  <c r="W30" i="119"/>
  <c r="AR48" i="119"/>
  <c r="AD30" i="119"/>
  <c r="W47" i="119"/>
  <c r="AD13" i="119"/>
  <c r="W35" i="119"/>
  <c r="P36" i="119"/>
  <c r="AK23" i="119"/>
  <c r="AR21" i="119"/>
  <c r="AR49" i="119"/>
  <c r="W46" i="119"/>
  <c r="AD38" i="119"/>
  <c r="P22" i="119"/>
  <c r="W38" i="119"/>
  <c r="AK49" i="119"/>
  <c r="P46" i="119"/>
  <c r="AR38" i="119"/>
  <c r="AR22" i="119"/>
  <c r="P27" i="119"/>
  <c r="AR27" i="119"/>
  <c r="AD49" i="119"/>
  <c r="AK45" i="119"/>
  <c r="AK38" i="119"/>
  <c r="AK22" i="119"/>
  <c r="AK27" i="119"/>
  <c r="AD45" i="119"/>
  <c r="P21" i="119"/>
  <c r="AD27" i="119"/>
  <c r="AR39" i="119"/>
  <c r="AK31" i="119"/>
  <c r="AD39" i="119"/>
  <c r="AD23" i="119"/>
  <c r="W45" i="119"/>
  <c r="W50" i="119"/>
  <c r="AK41" i="119"/>
  <c r="P31" i="119"/>
  <c r="AK39" i="119"/>
  <c r="W23" i="119"/>
  <c r="AD34" i="119"/>
  <c r="P50" i="119"/>
  <c r="AR41" i="119"/>
  <c r="AD41" i="119"/>
  <c r="W39" i="119"/>
  <c r="W34" i="119"/>
  <c r="AK28" i="119"/>
  <c r="AR16" i="119"/>
  <c r="W21" i="119"/>
  <c r="AD44" i="119"/>
  <c r="P45" i="119"/>
  <c r="AK34" i="119"/>
  <c r="W20" i="119"/>
  <c r="AD28" i="119"/>
  <c r="W16" i="119"/>
  <c r="AD22" i="119"/>
  <c r="AR20" i="119"/>
  <c r="AD50" i="119"/>
  <c r="P44" i="119"/>
  <c r="AR34" i="119"/>
  <c r="AK20" i="119"/>
  <c r="AR28" i="119"/>
  <c r="AK16" i="119"/>
  <c r="AD21" i="119"/>
  <c r="P16" i="119"/>
  <c r="AR15" i="119"/>
  <c r="P35" i="119"/>
  <c r="AK15" i="119"/>
  <c r="AR18" i="119"/>
  <c r="AK18" i="119"/>
  <c r="I51" i="119"/>
  <c r="AK35" i="119"/>
  <c r="AD18" i="119"/>
  <c r="AK29" i="119"/>
  <c r="W18" i="119"/>
  <c r="AK46" i="119"/>
  <c r="AD29" i="119"/>
  <c r="AD15" i="119"/>
  <c r="AR29" i="119"/>
  <c r="AR46" i="119"/>
  <c r="AS37" i="119" l="1"/>
  <c r="AY37" i="119" s="1"/>
  <c r="BE37" i="119" s="1"/>
  <c r="X37" i="119"/>
  <c r="AV37" i="119" s="1"/>
  <c r="BB37" i="119" s="1"/>
  <c r="AE37" i="119"/>
  <c r="AW37" i="119" s="1"/>
  <c r="BC37" i="119" s="1"/>
  <c r="AL37" i="119"/>
  <c r="AX37" i="119" s="1"/>
  <c r="BD37" i="119" s="1"/>
  <c r="Q37" i="119"/>
  <c r="AU37" i="119" s="1"/>
  <c r="BA37" i="119" s="1"/>
  <c r="W51" i="119"/>
  <c r="Q44" i="119"/>
  <c r="AU44" i="119" s="1"/>
  <c r="BA44" i="119" s="1"/>
  <c r="Q35" i="119"/>
  <c r="AU35" i="119" s="1"/>
  <c r="BA35" i="119" s="1"/>
  <c r="X27" i="119"/>
  <c r="AV27" i="119" s="1"/>
  <c r="BB27" i="119" s="1"/>
  <c r="Q16" i="119"/>
  <c r="AU16" i="119" s="1"/>
  <c r="BA16" i="119" s="1"/>
  <c r="X14" i="119"/>
  <c r="AV14" i="119" s="1"/>
  <c r="BB14" i="119" s="1"/>
  <c r="Q22" i="119"/>
  <c r="AU22" i="119" s="1"/>
  <c r="BA22" i="119" s="1"/>
  <c r="Q23" i="119"/>
  <c r="AU23" i="119" s="1"/>
  <c r="BA23" i="119" s="1"/>
  <c r="Q32" i="119"/>
  <c r="AU32" i="119" s="1"/>
  <c r="BA32" i="119" s="1"/>
  <c r="Q24" i="119"/>
  <c r="AU24" i="119" s="1"/>
  <c r="BA24" i="119" s="1"/>
  <c r="Q40" i="119"/>
  <c r="AU40" i="119" s="1"/>
  <c r="BA40" i="119" s="1"/>
  <c r="Q17" i="119"/>
  <c r="AU17" i="119" s="1"/>
  <c r="BA17" i="119" s="1"/>
  <c r="Q49" i="119"/>
  <c r="AU49" i="119" s="1"/>
  <c r="BA49" i="119" s="1"/>
  <c r="P51" i="119"/>
  <c r="Q38" i="119"/>
  <c r="AU38" i="119" s="1"/>
  <c r="BA38" i="119" s="1"/>
  <c r="Q30" i="119"/>
  <c r="AU30" i="119" s="1"/>
  <c r="BA30" i="119" s="1"/>
  <c r="Q12" i="119"/>
  <c r="AU12" i="119" s="1"/>
  <c r="X40" i="119"/>
  <c r="AV40" i="119" s="1"/>
  <c r="BB40" i="119" s="1"/>
  <c r="Q14" i="119"/>
  <c r="AU14" i="119" s="1"/>
  <c r="BA14" i="119" s="1"/>
  <c r="Q33" i="119"/>
  <c r="AU33" i="119" s="1"/>
  <c r="BA33" i="119" s="1"/>
  <c r="Q42" i="119"/>
  <c r="AU42" i="119" s="1"/>
  <c r="BA42" i="119" s="1"/>
  <c r="X38" i="119"/>
  <c r="AV38" i="119" s="1"/>
  <c r="BB38" i="119" s="1"/>
  <c r="X12" i="119"/>
  <c r="X34" i="119"/>
  <c r="AV34" i="119" s="1"/>
  <c r="BB34" i="119" s="1"/>
  <c r="Q36" i="119"/>
  <c r="AU36" i="119" s="1"/>
  <c r="BA36" i="119" s="1"/>
  <c r="Q48" i="119"/>
  <c r="AU48" i="119" s="1"/>
  <c r="BA48" i="119" s="1"/>
  <c r="Q47" i="119"/>
  <c r="AU47" i="119" s="1"/>
  <c r="BA47" i="119" s="1"/>
  <c r="X20" i="119"/>
  <c r="AV20" i="119" s="1"/>
  <c r="BB20" i="119" s="1"/>
  <c r="Q21" i="119"/>
  <c r="AU21" i="119" s="1"/>
  <c r="BA21" i="119" s="1"/>
  <c r="Q41" i="119"/>
  <c r="AU41" i="119" s="1"/>
  <c r="BA41" i="119" s="1"/>
  <c r="Q20" i="119"/>
  <c r="AU20" i="119" s="1"/>
  <c r="BA20" i="119" s="1"/>
  <c r="Q34" i="119"/>
  <c r="AU34" i="119" s="1"/>
  <c r="BA34" i="119" s="1"/>
  <c r="X46" i="119"/>
  <c r="AV46" i="119" s="1"/>
  <c r="BB46" i="119" s="1"/>
  <c r="Q45" i="119"/>
  <c r="AU45" i="119" s="1"/>
  <c r="BA45" i="119" s="1"/>
  <c r="AE33" i="119"/>
  <c r="AW33" i="119" s="1"/>
  <c r="BC33" i="119" s="1"/>
  <c r="X24" i="119"/>
  <c r="AV24" i="119" s="1"/>
  <c r="BB24" i="119" s="1"/>
  <c r="X22" i="119"/>
  <c r="AV22" i="119" s="1"/>
  <c r="BB22" i="119" s="1"/>
  <c r="X32" i="119"/>
  <c r="AV32" i="119" s="1"/>
  <c r="BB32" i="119" s="1"/>
  <c r="X36" i="119"/>
  <c r="AV36" i="119" s="1"/>
  <c r="BB36" i="119" s="1"/>
  <c r="X30" i="119"/>
  <c r="AV30" i="119" s="1"/>
  <c r="BB30" i="119" s="1"/>
  <c r="X33" i="119"/>
  <c r="AV33" i="119" s="1"/>
  <c r="BB33" i="119" s="1"/>
  <c r="X28" i="119"/>
  <c r="AV28" i="119" s="1"/>
  <c r="BB28" i="119" s="1"/>
  <c r="AL41" i="119"/>
  <c r="AX41" i="119" s="1"/>
  <c r="BD41" i="119" s="1"/>
  <c r="X45" i="119"/>
  <c r="AV45" i="119" s="1"/>
  <c r="BB45" i="119" s="1"/>
  <c r="X13" i="119"/>
  <c r="AV13" i="119" s="1"/>
  <c r="BB13" i="119" s="1"/>
  <c r="X49" i="119"/>
  <c r="AV49" i="119" s="1"/>
  <c r="BB49" i="119" s="1"/>
  <c r="X23" i="119"/>
  <c r="AV23" i="119" s="1"/>
  <c r="BB23" i="119" s="1"/>
  <c r="X18" i="119"/>
  <c r="AV18" i="119" s="1"/>
  <c r="BB18" i="119" s="1"/>
  <c r="X17" i="119"/>
  <c r="AV17" i="119" s="1"/>
  <c r="BB17" i="119" s="1"/>
  <c r="X29" i="119"/>
  <c r="AV29" i="119" s="1"/>
  <c r="BB29" i="119" s="1"/>
  <c r="X35" i="119"/>
  <c r="AV35" i="119" s="1"/>
  <c r="BB35" i="119" s="1"/>
  <c r="X19" i="119"/>
  <c r="AV19" i="119" s="1"/>
  <c r="BB19" i="119" s="1"/>
  <c r="X26" i="119"/>
  <c r="AV26" i="119" s="1"/>
  <c r="BB26" i="119" s="1"/>
  <c r="Q18" i="119"/>
  <c r="AU18" i="119" s="1"/>
  <c r="BA18" i="119" s="1"/>
  <c r="Q26" i="119"/>
  <c r="AU26" i="119" s="1"/>
  <c r="BA26" i="119" s="1"/>
  <c r="AE21" i="119"/>
  <c r="AW21" i="119" s="1"/>
  <c r="BC21" i="119" s="1"/>
  <c r="Q19" i="119"/>
  <c r="AU19" i="119" s="1"/>
  <c r="BA19" i="119" s="1"/>
  <c r="X42" i="119"/>
  <c r="AV42" i="119" s="1"/>
  <c r="BB42" i="119" s="1"/>
  <c r="X16" i="119"/>
  <c r="AV16" i="119" s="1"/>
  <c r="BB16" i="119" s="1"/>
  <c r="Q31" i="119"/>
  <c r="AU31" i="119" s="1"/>
  <c r="BA31" i="119" s="1"/>
  <c r="Q25" i="119"/>
  <c r="AU25" i="119" s="1"/>
  <c r="BA25" i="119" s="1"/>
  <c r="Q28" i="119"/>
  <c r="AU28" i="119" s="1"/>
  <c r="BA28" i="119" s="1"/>
  <c r="X31" i="119"/>
  <c r="AV31" i="119" s="1"/>
  <c r="BB31" i="119" s="1"/>
  <c r="X43" i="119"/>
  <c r="AV43" i="119" s="1"/>
  <c r="BB43" i="119" s="1"/>
  <c r="X41" i="119"/>
  <c r="AV41" i="119" s="1"/>
  <c r="BB41" i="119" s="1"/>
  <c r="X50" i="119"/>
  <c r="AV50" i="119" s="1"/>
  <c r="BB50" i="119" s="1"/>
  <c r="X48" i="119"/>
  <c r="AV48" i="119" s="1"/>
  <c r="BB48" i="119" s="1"/>
  <c r="Q39" i="119"/>
  <c r="AU39" i="119" s="1"/>
  <c r="BA39" i="119" s="1"/>
  <c r="Q15" i="119"/>
  <c r="AU15" i="119" s="1"/>
  <c r="BA15" i="119" s="1"/>
  <c r="Q13" i="119"/>
  <c r="AU13" i="119" s="1"/>
  <c r="BA13" i="119" s="1"/>
  <c r="X39" i="119"/>
  <c r="AV39" i="119" s="1"/>
  <c r="BB39" i="119" s="1"/>
  <c r="X25" i="119"/>
  <c r="AV25" i="119" s="1"/>
  <c r="BB25" i="119" s="1"/>
  <c r="X21" i="119"/>
  <c r="AV21" i="119" s="1"/>
  <c r="BB21" i="119" s="1"/>
  <c r="Q29" i="119"/>
  <c r="AU29" i="119" s="1"/>
  <c r="BA29" i="119" s="1"/>
  <c r="Q43" i="119"/>
  <c r="AU43" i="119" s="1"/>
  <c r="BA43" i="119" s="1"/>
  <c r="Q46" i="119"/>
  <c r="AU46" i="119" s="1"/>
  <c r="BA46" i="119" s="1"/>
  <c r="Q27" i="119"/>
  <c r="AU27" i="119" s="1"/>
  <c r="BA27" i="119" s="1"/>
  <c r="X47" i="119"/>
  <c r="AV47" i="119" s="1"/>
  <c r="BB47" i="119" s="1"/>
  <c r="AE47" i="119"/>
  <c r="AW47" i="119" s="1"/>
  <c r="BC47" i="119" s="1"/>
  <c r="X15" i="119"/>
  <c r="AV15" i="119" s="1"/>
  <c r="BB15" i="119" s="1"/>
  <c r="Q50" i="119"/>
  <c r="AU50" i="119" s="1"/>
  <c r="BA50" i="119" s="1"/>
  <c r="X44" i="119"/>
  <c r="AV44" i="119" s="1"/>
  <c r="BB44" i="119" s="1"/>
  <c r="AL22" i="119"/>
  <c r="AX22" i="119" s="1"/>
  <c r="BD22" i="119" s="1"/>
  <c r="AS26" i="119"/>
  <c r="AY26" i="119" s="1"/>
  <c r="BE26" i="119" s="1"/>
  <c r="AE34" i="119"/>
  <c r="AW34" i="119" s="1"/>
  <c r="BC34" i="119" s="1"/>
  <c r="AS29" i="119"/>
  <c r="AY29" i="119" s="1"/>
  <c r="BE29" i="119" s="1"/>
  <c r="AS13" i="119"/>
  <c r="AY13" i="119" s="1"/>
  <c r="BE13" i="119" s="1"/>
  <c r="AS47" i="119"/>
  <c r="AY47" i="119" s="1"/>
  <c r="BE47" i="119" s="1"/>
  <c r="AS27" i="119"/>
  <c r="AY27" i="119" s="1"/>
  <c r="BE27" i="119" s="1"/>
  <c r="AL25" i="119"/>
  <c r="AX25" i="119" s="1"/>
  <c r="BD25" i="119" s="1"/>
  <c r="AS22" i="119"/>
  <c r="AY22" i="119" s="1"/>
  <c r="BE22" i="119" s="1"/>
  <c r="AS20" i="119"/>
  <c r="AY20" i="119" s="1"/>
  <c r="BE20" i="119" s="1"/>
  <c r="AL43" i="119"/>
  <c r="AX43" i="119" s="1"/>
  <c r="BD43" i="119" s="1"/>
  <c r="AS14" i="119"/>
  <c r="AY14" i="119" s="1"/>
  <c r="BE14" i="119" s="1"/>
  <c r="AL38" i="119"/>
  <c r="AX38" i="119" s="1"/>
  <c r="BD38" i="119" s="1"/>
  <c r="AL35" i="119"/>
  <c r="AX35" i="119" s="1"/>
  <c r="BD35" i="119" s="1"/>
  <c r="AS38" i="119"/>
  <c r="AY38" i="119" s="1"/>
  <c r="BE38" i="119" s="1"/>
  <c r="AS49" i="119"/>
  <c r="AY49" i="119" s="1"/>
  <c r="BE49" i="119" s="1"/>
  <c r="AL50" i="119"/>
  <c r="AX50" i="119" s="1"/>
  <c r="BD50" i="119" s="1"/>
  <c r="AE48" i="119"/>
  <c r="AW48" i="119" s="1"/>
  <c r="BC48" i="119" s="1"/>
  <c r="AS21" i="119"/>
  <c r="AY21" i="119" s="1"/>
  <c r="BE21" i="119" s="1"/>
  <c r="AS23" i="119"/>
  <c r="AY23" i="119" s="1"/>
  <c r="BE23" i="119" s="1"/>
  <c r="AL36" i="119"/>
  <c r="AX36" i="119" s="1"/>
  <c r="BD36" i="119" s="1"/>
  <c r="AL21" i="119"/>
  <c r="AX21" i="119" s="1"/>
  <c r="BD21" i="119" s="1"/>
  <c r="AS15" i="119"/>
  <c r="AY15" i="119" s="1"/>
  <c r="BE15" i="119" s="1"/>
  <c r="AL12" i="119"/>
  <c r="AX12" i="119" s="1"/>
  <c r="AS12" i="119"/>
  <c r="AY12" i="119" s="1"/>
  <c r="AL45" i="119"/>
  <c r="AX45" i="119" s="1"/>
  <c r="BD45" i="119" s="1"/>
  <c r="AE12" i="119"/>
  <c r="AW12" i="119" s="1"/>
  <c r="AR51" i="119"/>
  <c r="AS30" i="119"/>
  <c r="AY30" i="119" s="1"/>
  <c r="BE30" i="119" s="1"/>
  <c r="AE14" i="119"/>
  <c r="AW14" i="119" s="1"/>
  <c r="BC14" i="119" s="1"/>
  <c r="AL19" i="119"/>
  <c r="AX19" i="119" s="1"/>
  <c r="BD19" i="119" s="1"/>
  <c r="AS31" i="119"/>
  <c r="AY31" i="119" s="1"/>
  <c r="BE31" i="119" s="1"/>
  <c r="AL28" i="119"/>
  <c r="AX28" i="119" s="1"/>
  <c r="BD28" i="119" s="1"/>
  <c r="AL18" i="119"/>
  <c r="AX18" i="119" s="1"/>
  <c r="BD18" i="119" s="1"/>
  <c r="AE41" i="119"/>
  <c r="AW41" i="119" s="1"/>
  <c r="BC41" i="119" s="1"/>
  <c r="AK51" i="119"/>
  <c r="AE36" i="119"/>
  <c r="AW36" i="119" s="1"/>
  <c r="BC36" i="119" s="1"/>
  <c r="AE16" i="119"/>
  <c r="AW16" i="119" s="1"/>
  <c r="BC16" i="119" s="1"/>
  <c r="AL34" i="119"/>
  <c r="AX34" i="119" s="1"/>
  <c r="BD34" i="119" s="1"/>
  <c r="AL14" i="119"/>
  <c r="AX14" i="119" s="1"/>
  <c r="BD14" i="119" s="1"/>
  <c r="AD51" i="119"/>
  <c r="AL47" i="119"/>
  <c r="AX47" i="119" s="1"/>
  <c r="BD47" i="119" s="1"/>
  <c r="AE15" i="119"/>
  <c r="AW15" i="119" s="1"/>
  <c r="BC15" i="119" s="1"/>
  <c r="AE43" i="119"/>
  <c r="AW43" i="119" s="1"/>
  <c r="BC43" i="119" s="1"/>
  <c r="AL30" i="119"/>
  <c r="AX30" i="119" s="1"/>
  <c r="BD30" i="119" s="1"/>
  <c r="AE29" i="119"/>
  <c r="AW29" i="119" s="1"/>
  <c r="BC29" i="119" s="1"/>
  <c r="AL49" i="119"/>
  <c r="AX49" i="119" s="1"/>
  <c r="BD49" i="119" s="1"/>
  <c r="AL16" i="119"/>
  <c r="AX16" i="119" s="1"/>
  <c r="BD16" i="119" s="1"/>
  <c r="AL29" i="119"/>
  <c r="AX29" i="119" s="1"/>
  <c r="BD29" i="119" s="1"/>
  <c r="AE45" i="119"/>
  <c r="AW45" i="119" s="1"/>
  <c r="BC45" i="119" s="1"/>
  <c r="AS17" i="119"/>
  <c r="AY17" i="119" s="1"/>
  <c r="BE17" i="119" s="1"/>
  <c r="AS41" i="119"/>
  <c r="AY41" i="119" s="1"/>
  <c r="BE41" i="119" s="1"/>
  <c r="AS32" i="119"/>
  <c r="AY32" i="119" s="1"/>
  <c r="BE32" i="119" s="1"/>
  <c r="AE22" i="119"/>
  <c r="AW22" i="119" s="1"/>
  <c r="BC22" i="119" s="1"/>
  <c r="AS24" i="119"/>
  <c r="AY24" i="119" s="1"/>
  <c r="BE24" i="119" s="1"/>
  <c r="AS39" i="119"/>
  <c r="AY39" i="119" s="1"/>
  <c r="BE39" i="119" s="1"/>
  <c r="AL26" i="119"/>
  <c r="AX26" i="119" s="1"/>
  <c r="BD26" i="119" s="1"/>
  <c r="AL31" i="119"/>
  <c r="AX31" i="119" s="1"/>
  <c r="BD31" i="119" s="1"/>
  <c r="AS16" i="119"/>
  <c r="AY16" i="119" s="1"/>
  <c r="BE16" i="119" s="1"/>
  <c r="AE31" i="119"/>
  <c r="AW31" i="119" s="1"/>
  <c r="BC31" i="119" s="1"/>
  <c r="AE46" i="119"/>
  <c r="AW46" i="119" s="1"/>
  <c r="BC46" i="119" s="1"/>
  <c r="AS34" i="119"/>
  <c r="AY34" i="119" s="1"/>
  <c r="BE34" i="119" s="1"/>
  <c r="AE27" i="119"/>
  <c r="AW27" i="119" s="1"/>
  <c r="BC27" i="119" s="1"/>
  <c r="AL44" i="119"/>
  <c r="AX44" i="119" s="1"/>
  <c r="BD44" i="119" s="1"/>
  <c r="AL42" i="119"/>
  <c r="AX42" i="119" s="1"/>
  <c r="BD42" i="119" s="1"/>
  <c r="AL23" i="119"/>
  <c r="AX23" i="119" s="1"/>
  <c r="BD23" i="119" s="1"/>
  <c r="AL24" i="119"/>
  <c r="AX24" i="119" s="1"/>
  <c r="BD24" i="119" s="1"/>
  <c r="AE30" i="119"/>
  <c r="AW30" i="119" s="1"/>
  <c r="BC30" i="119" s="1"/>
  <c r="AE40" i="119"/>
  <c r="AW40" i="119" s="1"/>
  <c r="BC40" i="119" s="1"/>
  <c r="AE25" i="119"/>
  <c r="AW25" i="119" s="1"/>
  <c r="BC25" i="119" s="1"/>
  <c r="AL46" i="119"/>
  <c r="AX46" i="119" s="1"/>
  <c r="BD46" i="119" s="1"/>
  <c r="AL20" i="119"/>
  <c r="AX20" i="119" s="1"/>
  <c r="BD20" i="119" s="1"/>
  <c r="AE44" i="119"/>
  <c r="AW44" i="119" s="1"/>
  <c r="BC44" i="119" s="1"/>
  <c r="AE32" i="119"/>
  <c r="AW32" i="119" s="1"/>
  <c r="BC32" i="119" s="1"/>
  <c r="AS28" i="119"/>
  <c r="AY28" i="119" s="1"/>
  <c r="BE28" i="119" s="1"/>
  <c r="AE18" i="119"/>
  <c r="AW18" i="119" s="1"/>
  <c r="BC18" i="119" s="1"/>
  <c r="AE49" i="119"/>
  <c r="AW49" i="119" s="1"/>
  <c r="BC49" i="119" s="1"/>
  <c r="AE38" i="119"/>
  <c r="AW38" i="119" s="1"/>
  <c r="BC38" i="119" s="1"/>
  <c r="AS35" i="119"/>
  <c r="AY35" i="119" s="1"/>
  <c r="BE35" i="119" s="1"/>
  <c r="AE35" i="119"/>
  <c r="AW35" i="119" s="1"/>
  <c r="BC35" i="119" s="1"/>
  <c r="AS45" i="119"/>
  <c r="AY45" i="119" s="1"/>
  <c r="BE45" i="119" s="1"/>
  <c r="AE13" i="119"/>
  <c r="AW13" i="119" s="1"/>
  <c r="BC13" i="119" s="1"/>
  <c r="AS43" i="119"/>
  <c r="AY43" i="119" s="1"/>
  <c r="BE43" i="119" s="1"/>
  <c r="AL27" i="119"/>
  <c r="AX27" i="119" s="1"/>
  <c r="BD27" i="119" s="1"/>
  <c r="AS44" i="119"/>
  <c r="AY44" i="119" s="1"/>
  <c r="BE44" i="119" s="1"/>
  <c r="AE28" i="119"/>
  <c r="AW28" i="119" s="1"/>
  <c r="BC28" i="119" s="1"/>
  <c r="AL48" i="119"/>
  <c r="AX48" i="119" s="1"/>
  <c r="BD48" i="119" s="1"/>
  <c r="AE39" i="119"/>
  <c r="AW39" i="119" s="1"/>
  <c r="BC39" i="119" s="1"/>
  <c r="AL13" i="119"/>
  <c r="AX13" i="119" s="1"/>
  <c r="BD13" i="119" s="1"/>
  <c r="AS40" i="119"/>
  <c r="AY40" i="119" s="1"/>
  <c r="BE40" i="119" s="1"/>
  <c r="AS48" i="119"/>
  <c r="AY48" i="119" s="1"/>
  <c r="BE48" i="119" s="1"/>
  <c r="AL32" i="119"/>
  <c r="AX32" i="119" s="1"/>
  <c r="BD32" i="119" s="1"/>
  <c r="AE17" i="119"/>
  <c r="AW17" i="119" s="1"/>
  <c r="BC17" i="119" s="1"/>
  <c r="AE20" i="119"/>
  <c r="AW20" i="119" s="1"/>
  <c r="BC20" i="119" s="1"/>
  <c r="AE19" i="119"/>
  <c r="AW19" i="119" s="1"/>
  <c r="BC19" i="119" s="1"/>
  <c r="AE42" i="119"/>
  <c r="AW42" i="119" s="1"/>
  <c r="BC42" i="119" s="1"/>
  <c r="AE23" i="119"/>
  <c r="AW23" i="119" s="1"/>
  <c r="BC23" i="119" s="1"/>
  <c r="AS19" i="119"/>
  <c r="AY19" i="119" s="1"/>
  <c r="BE19" i="119" s="1"/>
  <c r="AS36" i="119"/>
  <c r="AY36" i="119" s="1"/>
  <c r="BE36" i="119" s="1"/>
  <c r="AL40" i="119"/>
  <c r="AX40" i="119" s="1"/>
  <c r="BD40" i="119" s="1"/>
  <c r="AS50" i="119"/>
  <c r="AY50" i="119" s="1"/>
  <c r="BE50" i="119" s="1"/>
  <c r="AE26" i="119"/>
  <c r="AW26" i="119" s="1"/>
  <c r="BC26" i="119" s="1"/>
  <c r="AE50" i="119"/>
  <c r="AW50" i="119" s="1"/>
  <c r="BC50" i="119" s="1"/>
  <c r="AS46" i="119"/>
  <c r="AY46" i="119" s="1"/>
  <c r="BE46" i="119" s="1"/>
  <c r="AL33" i="119"/>
  <c r="AX33" i="119" s="1"/>
  <c r="BD33" i="119" s="1"/>
  <c r="AS25" i="119"/>
  <c r="AY25" i="119" s="1"/>
  <c r="BE25" i="119" s="1"/>
  <c r="AS33" i="119"/>
  <c r="AY33" i="119" s="1"/>
  <c r="BE33" i="119" s="1"/>
  <c r="AL17" i="119"/>
  <c r="AX17" i="119" s="1"/>
  <c r="BD17" i="119" s="1"/>
  <c r="AS42" i="119"/>
  <c r="AY42" i="119" s="1"/>
  <c r="BE42" i="119" s="1"/>
  <c r="AE24" i="119"/>
  <c r="AW24" i="119" s="1"/>
  <c r="BC24" i="119" s="1"/>
  <c r="AS18" i="119"/>
  <c r="AY18" i="119" s="1"/>
  <c r="BE18" i="119" s="1"/>
  <c r="AL39" i="119"/>
  <c r="AX39" i="119" s="1"/>
  <c r="BD39" i="119" s="1"/>
  <c r="AL15" i="119"/>
  <c r="AX15" i="119" s="1"/>
  <c r="BD15" i="119" s="1"/>
  <c r="BF37" i="119" l="1"/>
  <c r="AV12" i="119"/>
  <c r="AV51" i="119" s="1"/>
  <c r="BB51" i="119" s="1"/>
  <c r="X51" i="119"/>
  <c r="BF22" i="119"/>
  <c r="BJ22" i="119" s="1"/>
  <c r="BK22" i="119" s="1"/>
  <c r="BF30" i="119"/>
  <c r="BJ30" i="119" s="1"/>
  <c r="BK30" i="119" s="1"/>
  <c r="BF35" i="119"/>
  <c r="BI35" i="119" s="1"/>
  <c r="Q51" i="119"/>
  <c r="BF41" i="119"/>
  <c r="BI41" i="119" s="1"/>
  <c r="BF21" i="119"/>
  <c r="BJ21" i="119" s="1"/>
  <c r="BK21" i="119" s="1"/>
  <c r="BF43" i="119"/>
  <c r="BI43" i="119" s="1"/>
  <c r="BF47" i="119"/>
  <c r="BJ47" i="119" s="1"/>
  <c r="BK47" i="119" s="1"/>
  <c r="BF15" i="119"/>
  <c r="BJ15" i="119" s="1"/>
  <c r="BK15" i="119" s="1"/>
  <c r="BF24" i="119"/>
  <c r="BJ24" i="119" s="1"/>
  <c r="BK24" i="119" s="1"/>
  <c r="BF14" i="119"/>
  <c r="BJ14" i="119" s="1"/>
  <c r="BK14" i="119" s="1"/>
  <c r="BF50" i="119"/>
  <c r="BJ50" i="119" s="1"/>
  <c r="BK50" i="119" s="1"/>
  <c r="BF38" i="119"/>
  <c r="BI38" i="119" s="1"/>
  <c r="BF20" i="119"/>
  <c r="BJ20" i="119" s="1"/>
  <c r="BK20" i="119" s="1"/>
  <c r="BF16" i="119"/>
  <c r="BJ16" i="119" s="1"/>
  <c r="BK16" i="119" s="1"/>
  <c r="BF48" i="119"/>
  <c r="BI48" i="119" s="1"/>
  <c r="BF27" i="119"/>
  <c r="BJ27" i="119" s="1"/>
  <c r="BK27" i="119" s="1"/>
  <c r="BF33" i="119"/>
  <c r="BI33" i="119" s="1"/>
  <c r="BF44" i="119"/>
  <c r="BJ44" i="119" s="1"/>
  <c r="BK44" i="119" s="1"/>
  <c r="BF46" i="119"/>
  <c r="BI46" i="119" s="1"/>
  <c r="BF34" i="119"/>
  <c r="BJ34" i="119" s="1"/>
  <c r="BK34" i="119" s="1"/>
  <c r="BF25" i="119"/>
  <c r="BJ25" i="119" s="1"/>
  <c r="BK25" i="119" s="1"/>
  <c r="BF36" i="119"/>
  <c r="BF19" i="119"/>
  <c r="BJ19" i="119" s="1"/>
  <c r="BK19" i="119" s="1"/>
  <c r="BF17" i="119"/>
  <c r="BI17" i="119" s="1"/>
  <c r="BF23" i="119"/>
  <c r="BI23" i="119" s="1"/>
  <c r="BF42" i="119"/>
  <c r="BI42" i="119" s="1"/>
  <c r="BF26" i="119"/>
  <c r="BJ26" i="119" s="1"/>
  <c r="BK26" i="119" s="1"/>
  <c r="BF49" i="119"/>
  <c r="BI49" i="119" s="1"/>
  <c r="BF40" i="119"/>
  <c r="BI40" i="119" s="1"/>
  <c r="BF39" i="119"/>
  <c r="BJ39" i="119" s="1"/>
  <c r="BK39" i="119" s="1"/>
  <c r="BF18" i="119"/>
  <c r="BJ18" i="119" s="1"/>
  <c r="BK18" i="119" s="1"/>
  <c r="BF29" i="119"/>
  <c r="BJ29" i="119" s="1"/>
  <c r="BK29" i="119" s="1"/>
  <c r="BF13" i="119"/>
  <c r="BJ13" i="119" s="1"/>
  <c r="BK13" i="119" s="1"/>
  <c r="BF45" i="119"/>
  <c r="BJ45" i="119" s="1"/>
  <c r="BK45" i="119" s="1"/>
  <c r="BF28" i="119"/>
  <c r="BJ28" i="119" s="1"/>
  <c r="BK28" i="119" s="1"/>
  <c r="BF31" i="119"/>
  <c r="BI31" i="119" s="1"/>
  <c r="BF32" i="119"/>
  <c r="BI32" i="119" s="1"/>
  <c r="AE51" i="119"/>
  <c r="AL51" i="119"/>
  <c r="AS51" i="119"/>
  <c r="AU51" i="119"/>
  <c r="BA51" i="119" s="1"/>
  <c r="BA12" i="119"/>
  <c r="AX51" i="119"/>
  <c r="BD51" i="119" s="1"/>
  <c r="BD12" i="119"/>
  <c r="AY51" i="119"/>
  <c r="BE51" i="119" s="1"/>
  <c r="BE12" i="119"/>
  <c r="AW51" i="119"/>
  <c r="BC51" i="119" s="1"/>
  <c r="BC12" i="119"/>
  <c r="BI37" i="119" l="1"/>
  <c r="BJ37" i="119"/>
  <c r="BK37" i="119" s="1"/>
  <c r="BB12" i="119"/>
  <c r="BF12" i="119" s="1"/>
  <c r="BI36" i="119"/>
  <c r="BJ36" i="119"/>
  <c r="BK36" i="119" s="1"/>
  <c r="BJ35" i="119"/>
  <c r="BK35" i="119" s="1"/>
  <c r="BM35" i="119" s="1"/>
  <c r="BI27" i="119"/>
  <c r="BM27" i="119" s="1"/>
  <c r="BJ41" i="119"/>
  <c r="BK41" i="119" s="1"/>
  <c r="BM41" i="119" s="1"/>
  <c r="BI30" i="119"/>
  <c r="BM30" i="119" s="1"/>
  <c r="BI22" i="119"/>
  <c r="BM22" i="119" s="1"/>
  <c r="BJ43" i="119"/>
  <c r="BK43" i="119" s="1"/>
  <c r="BM43" i="119" s="1"/>
  <c r="BJ46" i="119"/>
  <c r="BK46" i="119" s="1"/>
  <c r="BM46" i="119" s="1"/>
  <c r="BI47" i="119"/>
  <c r="BM47" i="119" s="1"/>
  <c r="BI15" i="119"/>
  <c r="BM15" i="119" s="1"/>
  <c r="BJ48" i="119"/>
  <c r="BK48" i="119" s="1"/>
  <c r="BM48" i="119" s="1"/>
  <c r="BI24" i="119"/>
  <c r="BM24" i="119" s="1"/>
  <c r="BI16" i="119"/>
  <c r="BM16" i="119" s="1"/>
  <c r="BJ38" i="119"/>
  <c r="BK38" i="119" s="1"/>
  <c r="BM38" i="119" s="1"/>
  <c r="BI50" i="119"/>
  <c r="BM50" i="119" s="1"/>
  <c r="BI21" i="119"/>
  <c r="BM21" i="119" s="1"/>
  <c r="BJ23" i="119"/>
  <c r="BK23" i="119" s="1"/>
  <c r="BM23" i="119" s="1"/>
  <c r="BI14" i="119"/>
  <c r="BM14" i="119" s="1"/>
  <c r="BI25" i="119"/>
  <c r="BM25" i="119" s="1"/>
  <c r="BI44" i="119"/>
  <c r="BM44" i="119" s="1"/>
  <c r="BI20" i="119"/>
  <c r="BM20" i="119" s="1"/>
  <c r="BI19" i="119"/>
  <c r="BM19" i="119" s="1"/>
  <c r="BJ33" i="119"/>
  <c r="BK33" i="119" s="1"/>
  <c r="BM33" i="119" s="1"/>
  <c r="BJ42" i="119"/>
  <c r="BK42" i="119" s="1"/>
  <c r="BM42" i="119" s="1"/>
  <c r="BI34" i="119"/>
  <c r="BM34" i="119" s="1"/>
  <c r="BJ49" i="119"/>
  <c r="BK49" i="119" s="1"/>
  <c r="BM49" i="119" s="1"/>
  <c r="BJ17" i="119"/>
  <c r="BK17" i="119" s="1"/>
  <c r="BM17" i="119" s="1"/>
  <c r="BI13" i="119"/>
  <c r="BM13" i="119" s="1"/>
  <c r="BJ40" i="119"/>
  <c r="BK40" i="119" s="1"/>
  <c r="BM40" i="119" s="1"/>
  <c r="BI28" i="119"/>
  <c r="BM28" i="119" s="1"/>
  <c r="BI18" i="119"/>
  <c r="BM18" i="119" s="1"/>
  <c r="BI39" i="119"/>
  <c r="BM39" i="119" s="1"/>
  <c r="BI26" i="119"/>
  <c r="BM26" i="119" s="1"/>
  <c r="BJ32" i="119"/>
  <c r="BK32" i="119" s="1"/>
  <c r="BM32" i="119" s="1"/>
  <c r="BI29" i="119"/>
  <c r="BM29" i="119" s="1"/>
  <c r="BJ31" i="119"/>
  <c r="BK31" i="119" s="1"/>
  <c r="BM31" i="119" s="1"/>
  <c r="BI45" i="119"/>
  <c r="BM45" i="119" s="1"/>
  <c r="BF51" i="119"/>
  <c r="BM37" i="119" l="1"/>
  <c r="BM36" i="119"/>
  <c r="BJ12" i="119"/>
  <c r="BJ51" i="119" s="1"/>
  <c r="BI12" i="119"/>
  <c r="BK12" i="119" l="1"/>
  <c r="BM12" i="119" s="1"/>
  <c r="BM51" i="119" s="1"/>
  <c r="BK51" i="119" l="1"/>
  <c r="BM6" i="119" s="1"/>
  <c r="BN37" i="119" l="1"/>
  <c r="BO37" i="119" s="1"/>
  <c r="BP37" i="119" s="1"/>
  <c r="BQ37" i="119" l="1"/>
  <c r="BR37" i="119"/>
  <c r="BU37" i="119"/>
  <c r="BV37" i="119"/>
  <c r="BW37" i="119" s="1"/>
  <c r="BY37" i="119" s="1"/>
  <c r="BN12" i="119"/>
  <c r="BO12" i="119" s="1"/>
  <c r="BP12" i="119" s="1"/>
  <c r="BU12" i="119" s="1"/>
  <c r="BN13" i="119"/>
  <c r="BO13" i="119" s="1"/>
  <c r="BP13" i="119" s="1"/>
  <c r="BN19" i="119"/>
  <c r="BO19" i="119" s="1"/>
  <c r="BP19" i="119" s="1"/>
  <c r="BN45" i="119"/>
  <c r="BO45" i="119" s="1"/>
  <c r="BP45" i="119" s="1"/>
  <c r="BN14" i="119"/>
  <c r="BO14" i="119" s="1"/>
  <c r="BP14" i="119" s="1"/>
  <c r="BN36" i="119"/>
  <c r="BO36" i="119" s="1"/>
  <c r="BP36" i="119" s="1"/>
  <c r="BN47" i="119"/>
  <c r="BO47" i="119" s="1"/>
  <c r="BP47" i="119" s="1"/>
  <c r="BN33" i="119"/>
  <c r="BN42" i="119"/>
  <c r="BO42" i="119" s="1"/>
  <c r="BP42" i="119" s="1"/>
  <c r="BN24" i="119"/>
  <c r="BO24" i="119" s="1"/>
  <c r="BP24" i="119" s="1"/>
  <c r="BN38" i="119"/>
  <c r="BO38" i="119" s="1"/>
  <c r="BP38" i="119" s="1"/>
  <c r="BN32" i="119"/>
  <c r="BO32" i="119" s="1"/>
  <c r="BP32" i="119" s="1"/>
  <c r="BN27" i="119"/>
  <c r="BO27" i="119" s="1"/>
  <c r="BP27" i="119" s="1"/>
  <c r="BN23" i="119"/>
  <c r="BO23" i="119" s="1"/>
  <c r="BP23" i="119" s="1"/>
  <c r="BN26" i="119"/>
  <c r="BO26" i="119" s="1"/>
  <c r="BP26" i="119" s="1"/>
  <c r="BN43" i="119"/>
  <c r="BO43" i="119" s="1"/>
  <c r="BP43" i="119" s="1"/>
  <c r="BN16" i="119"/>
  <c r="BO16" i="119" s="1"/>
  <c r="BP16" i="119" s="1"/>
  <c r="BN30" i="119"/>
  <c r="BO30" i="119" s="1"/>
  <c r="BP30" i="119" s="1"/>
  <c r="BN18" i="119"/>
  <c r="BO18" i="119" s="1"/>
  <c r="BP18" i="119" s="1"/>
  <c r="BN35" i="119"/>
  <c r="BO35" i="119" s="1"/>
  <c r="BP35" i="119" s="1"/>
  <c r="BN29" i="119"/>
  <c r="BO29" i="119" s="1"/>
  <c r="BP29" i="119" s="1"/>
  <c r="BN22" i="119"/>
  <c r="BO22" i="119" s="1"/>
  <c r="BP22" i="119" s="1"/>
  <c r="BN20" i="119"/>
  <c r="BO20" i="119" s="1"/>
  <c r="BN40" i="119"/>
  <c r="BO40" i="119" s="1"/>
  <c r="BP40" i="119" s="1"/>
  <c r="BN31" i="119"/>
  <c r="BO31" i="119" s="1"/>
  <c r="BP31" i="119" s="1"/>
  <c r="BN25" i="119"/>
  <c r="BO25" i="119" s="1"/>
  <c r="BP25" i="119" s="1"/>
  <c r="BN44" i="119"/>
  <c r="BO44" i="119" s="1"/>
  <c r="BP44" i="119" s="1"/>
  <c r="BN41" i="119"/>
  <c r="BO41" i="119" s="1"/>
  <c r="BP41" i="119" s="1"/>
  <c r="BN48" i="119"/>
  <c r="BO48" i="119" s="1"/>
  <c r="BP48" i="119" s="1"/>
  <c r="BN34" i="119"/>
  <c r="BO34" i="119" s="1"/>
  <c r="BP34" i="119" s="1"/>
  <c r="BN17" i="119"/>
  <c r="BO17" i="119" s="1"/>
  <c r="BP17" i="119" s="1"/>
  <c r="BN21" i="119"/>
  <c r="BO21" i="119" s="1"/>
  <c r="BP21" i="119" s="1"/>
  <c r="BN28" i="119"/>
  <c r="BO28" i="119" s="1"/>
  <c r="BP28" i="119" s="1"/>
  <c r="BN15" i="119"/>
  <c r="BO15" i="119" s="1"/>
  <c r="BP15" i="119" s="1"/>
  <c r="BN39" i="119"/>
  <c r="BO39" i="119" s="1"/>
  <c r="BP39" i="119" s="1"/>
  <c r="BN49" i="119"/>
  <c r="BO49" i="119" s="1"/>
  <c r="BP49" i="119" s="1"/>
  <c r="BN50" i="119"/>
  <c r="BO50" i="119" s="1"/>
  <c r="BP50" i="119" s="1"/>
  <c r="BN46" i="119"/>
  <c r="BO46" i="119" s="1"/>
  <c r="BP46" i="119" s="1"/>
  <c r="BQ17" i="119" l="1"/>
  <c r="BU17" i="119"/>
  <c r="BQ34" i="119"/>
  <c r="BU34" i="119"/>
  <c r="BQ27" i="119"/>
  <c r="BU27" i="119"/>
  <c r="BQ44" i="119"/>
  <c r="BU44" i="119"/>
  <c r="BQ25" i="119"/>
  <c r="BU25" i="119"/>
  <c r="BQ40" i="119"/>
  <c r="BU40" i="119"/>
  <c r="BQ36" i="119"/>
  <c r="BU36" i="119"/>
  <c r="BQ19" i="119"/>
  <c r="BU19" i="119"/>
  <c r="BQ21" i="119"/>
  <c r="BU21" i="119"/>
  <c r="BQ26" i="119"/>
  <c r="BU26" i="119"/>
  <c r="BQ48" i="119"/>
  <c r="BU48" i="119"/>
  <c r="BQ32" i="119"/>
  <c r="BU32" i="119"/>
  <c r="BQ24" i="119"/>
  <c r="BU24" i="119"/>
  <c r="BQ42" i="119"/>
  <c r="BU42" i="119"/>
  <c r="BQ47" i="119"/>
  <c r="BU47" i="119"/>
  <c r="BQ22" i="119"/>
  <c r="BU22" i="119"/>
  <c r="BQ29" i="119"/>
  <c r="BU29" i="119"/>
  <c r="BQ49" i="119"/>
  <c r="BU49" i="119"/>
  <c r="BQ15" i="119"/>
  <c r="BU15" i="119"/>
  <c r="BQ13" i="119"/>
  <c r="BU13" i="119"/>
  <c r="BQ43" i="119"/>
  <c r="BU43" i="119"/>
  <c r="BQ23" i="119"/>
  <c r="BU23" i="119"/>
  <c r="BQ41" i="119"/>
  <c r="BU41" i="119"/>
  <c r="BQ38" i="119"/>
  <c r="BU38" i="119"/>
  <c r="BQ31" i="119"/>
  <c r="BU31" i="119"/>
  <c r="BQ46" i="119"/>
  <c r="BU46" i="119"/>
  <c r="BQ50" i="119"/>
  <c r="BU50" i="119"/>
  <c r="BQ14" i="119"/>
  <c r="BU14" i="119"/>
  <c r="BQ35" i="119"/>
  <c r="BU35" i="119"/>
  <c r="BQ45" i="119"/>
  <c r="BU45" i="119"/>
  <c r="BQ39" i="119"/>
  <c r="BU39" i="119"/>
  <c r="BQ18" i="119"/>
  <c r="BU18" i="119"/>
  <c r="BQ30" i="119"/>
  <c r="BU30" i="119"/>
  <c r="BQ28" i="119"/>
  <c r="BU28" i="119"/>
  <c r="BQ16" i="119"/>
  <c r="BU16" i="119"/>
  <c r="BV12" i="119"/>
  <c r="BQ12" i="119"/>
  <c r="BP20" i="119"/>
  <c r="BU20" i="119" s="1"/>
  <c r="BO33" i="119"/>
  <c r="BP33" i="119" s="1"/>
  <c r="BR43" i="119"/>
  <c r="BV43" i="119"/>
  <c r="BW43" i="119" s="1"/>
  <c r="BR46" i="119"/>
  <c r="BV46" i="119"/>
  <c r="BW46" i="119" s="1"/>
  <c r="BR17" i="119"/>
  <c r="BV17" i="119"/>
  <c r="BW17" i="119" s="1"/>
  <c r="BV26" i="119"/>
  <c r="BW26" i="119" s="1"/>
  <c r="BR26" i="119"/>
  <c r="BR47" i="119"/>
  <c r="BV47" i="119"/>
  <c r="BW47" i="119" s="1"/>
  <c r="BR50" i="119"/>
  <c r="BV50" i="119"/>
  <c r="BW50" i="119" s="1"/>
  <c r="BR34" i="119"/>
  <c r="BV34" i="119"/>
  <c r="BW34" i="119" s="1"/>
  <c r="BV22" i="119"/>
  <c r="BW22" i="119" s="1"/>
  <c r="BR22" i="119"/>
  <c r="BV23" i="119"/>
  <c r="BW23" i="119" s="1"/>
  <c r="BR23" i="119"/>
  <c r="BV36" i="119"/>
  <c r="BW36" i="119" s="1"/>
  <c r="BR36" i="119"/>
  <c r="BR21" i="119"/>
  <c r="BV21" i="119"/>
  <c r="BW21" i="119" s="1"/>
  <c r="BV48" i="119"/>
  <c r="BW48" i="119" s="1"/>
  <c r="BR48" i="119"/>
  <c r="BV27" i="119"/>
  <c r="BW27" i="119" s="1"/>
  <c r="BR27" i="119"/>
  <c r="BV41" i="119"/>
  <c r="BW41" i="119" s="1"/>
  <c r="BR41" i="119"/>
  <c r="BR39" i="119"/>
  <c r="BV39" i="119"/>
  <c r="BW39" i="119" s="1"/>
  <c r="BV44" i="119"/>
  <c r="BW44" i="119" s="1"/>
  <c r="BR44" i="119"/>
  <c r="BR18" i="119"/>
  <c r="BV18" i="119"/>
  <c r="BW18" i="119" s="1"/>
  <c r="BR38" i="119"/>
  <c r="BV38" i="119"/>
  <c r="BW38" i="119" s="1"/>
  <c r="BR19" i="119"/>
  <c r="BV19" i="119"/>
  <c r="BW19" i="119" s="1"/>
  <c r="BV40" i="119"/>
  <c r="BW40" i="119" s="1"/>
  <c r="BR40" i="119"/>
  <c r="BV49" i="119"/>
  <c r="BW49" i="119" s="1"/>
  <c r="BR49" i="119"/>
  <c r="BV14" i="119"/>
  <c r="BW14" i="119" s="1"/>
  <c r="BR14" i="119"/>
  <c r="BV32" i="119"/>
  <c r="BW32" i="119" s="1"/>
  <c r="BR32" i="119"/>
  <c r="BV15" i="119"/>
  <c r="BW15" i="119" s="1"/>
  <c r="BR15" i="119"/>
  <c r="BR25" i="119"/>
  <c r="BV25" i="119"/>
  <c r="BW25" i="119" s="1"/>
  <c r="BR30" i="119"/>
  <c r="BV30" i="119"/>
  <c r="BW30" i="119" s="1"/>
  <c r="BR24" i="119"/>
  <c r="BV24" i="119"/>
  <c r="BW24" i="119" s="1"/>
  <c r="BR13" i="119"/>
  <c r="BV13" i="119"/>
  <c r="BW13" i="119" s="1"/>
  <c r="BV29" i="119"/>
  <c r="BW29" i="119" s="1"/>
  <c r="BR29" i="119"/>
  <c r="BV35" i="119"/>
  <c r="BW35" i="119" s="1"/>
  <c r="BR35" i="119"/>
  <c r="BV45" i="119"/>
  <c r="BW45" i="119" s="1"/>
  <c r="BR45" i="119"/>
  <c r="BV28" i="119"/>
  <c r="BW28" i="119" s="1"/>
  <c r="BR28" i="119"/>
  <c r="BR31" i="119"/>
  <c r="BV31" i="119"/>
  <c r="BW31" i="119" s="1"/>
  <c r="BR16" i="119"/>
  <c r="BV16" i="119"/>
  <c r="BW16" i="119" s="1"/>
  <c r="BR42" i="119"/>
  <c r="BV42" i="119"/>
  <c r="BW42" i="119" s="1"/>
  <c r="BR12" i="119"/>
  <c r="BY43" i="119" l="1"/>
  <c r="BY25" i="119"/>
  <c r="BY19" i="119"/>
  <c r="BY42" i="119"/>
  <c r="BY24" i="119"/>
  <c r="BY16" i="119"/>
  <c r="BY46" i="119"/>
  <c r="BY17" i="119"/>
  <c r="BY31" i="119"/>
  <c r="BY34" i="119"/>
  <c r="BY50" i="119"/>
  <c r="BY36" i="119"/>
  <c r="BQ33" i="119"/>
  <c r="BU33" i="119"/>
  <c r="BY45" i="119"/>
  <c r="BY13" i="119"/>
  <c r="BY21" i="119"/>
  <c r="BY47" i="119"/>
  <c r="BY29" i="119"/>
  <c r="BY40" i="119"/>
  <c r="BY27" i="119"/>
  <c r="BY15" i="119"/>
  <c r="BY18" i="119"/>
  <c r="BY23" i="119"/>
  <c r="BY41" i="119"/>
  <c r="BY22" i="119"/>
  <c r="BY14" i="119"/>
  <c r="BY28" i="119"/>
  <c r="BY30" i="119"/>
  <c r="BY44" i="119"/>
  <c r="BY26" i="119"/>
  <c r="BY35" i="119"/>
  <c r="BY38" i="119"/>
  <c r="BY32" i="119"/>
  <c r="BY48" i="119"/>
  <c r="BY49" i="119"/>
  <c r="BY39" i="119"/>
  <c r="BV20" i="119"/>
  <c r="BW20" i="119" s="1"/>
  <c r="BY20" i="119" s="1"/>
  <c r="BR20" i="119"/>
  <c r="BQ20" i="119"/>
  <c r="BO51" i="119"/>
  <c r="BR33" i="119"/>
  <c r="BV33" i="119"/>
  <c r="BW33" i="119" s="1"/>
  <c r="BP51" i="119"/>
  <c r="BY33" i="119" l="1"/>
  <c r="BV51" i="119"/>
  <c r="BW51" i="119" s="1"/>
  <c r="BZ6" i="119" s="1"/>
  <c r="BR51" i="119"/>
  <c r="BW12" i="119"/>
  <c r="BY12" i="119" s="1"/>
  <c r="BY51" i="119" l="1"/>
  <c r="BZ37" i="119" s="1"/>
  <c r="CA37" i="119" s="1"/>
  <c r="CB37" i="119" s="1"/>
  <c r="CC37" i="119" l="1"/>
  <c r="CD37" i="119" s="1"/>
  <c r="CG37" i="119"/>
  <c r="CH37" i="119" s="1"/>
  <c r="CI37" i="119" s="1"/>
  <c r="BZ12" i="119"/>
  <c r="CA12" i="119" s="1"/>
  <c r="BZ43" i="119"/>
  <c r="CA43" i="119" s="1"/>
  <c r="BZ22" i="119"/>
  <c r="CA22" i="119" s="1"/>
  <c r="BZ34" i="119"/>
  <c r="CA34" i="119" s="1"/>
  <c r="BZ44" i="119"/>
  <c r="CA44" i="119" s="1"/>
  <c r="BZ49" i="119"/>
  <c r="CA49" i="119" s="1"/>
  <c r="BZ32" i="119"/>
  <c r="CA32" i="119" s="1"/>
  <c r="BZ23" i="119"/>
  <c r="CA23" i="119" s="1"/>
  <c r="BZ27" i="119"/>
  <c r="CA27" i="119" s="1"/>
  <c r="BZ35" i="119"/>
  <c r="CA35" i="119" s="1"/>
  <c r="BZ28" i="119"/>
  <c r="CA28" i="119" s="1"/>
  <c r="BZ41" i="119"/>
  <c r="CA41" i="119" s="1"/>
  <c r="BZ14" i="119"/>
  <c r="CA14" i="119" s="1"/>
  <c r="BZ51" i="119"/>
  <c r="CA51" i="119" s="1"/>
  <c r="BZ29" i="119"/>
  <c r="CA29" i="119" s="1"/>
  <c r="BZ50" i="119"/>
  <c r="CA50" i="119" s="1"/>
  <c r="BZ30" i="119"/>
  <c r="CA30" i="119" s="1"/>
  <c r="BZ38" i="119"/>
  <c r="CA38" i="119" s="1"/>
  <c r="BZ17" i="119"/>
  <c r="CA17" i="119" s="1"/>
  <c r="BZ19" i="119"/>
  <c r="CA19" i="119" s="1"/>
  <c r="BZ31" i="119"/>
  <c r="CA31" i="119" s="1"/>
  <c r="BZ47" i="119"/>
  <c r="CA47" i="119" s="1"/>
  <c r="BZ40" i="119"/>
  <c r="CA40" i="119" s="1"/>
  <c r="BZ21" i="119"/>
  <c r="CA21" i="119" s="1"/>
  <c r="BZ45" i="119"/>
  <c r="CA45" i="119" s="1"/>
  <c r="BZ48" i="119"/>
  <c r="CA48" i="119" s="1"/>
  <c r="BZ24" i="119"/>
  <c r="CA24" i="119" s="1"/>
  <c r="BZ33" i="119"/>
  <c r="CA33" i="119" s="1"/>
  <c r="BZ16" i="119"/>
  <c r="CA16" i="119" s="1"/>
  <c r="BZ36" i="119"/>
  <c r="CA36" i="119" s="1"/>
  <c r="BZ42" i="119"/>
  <c r="CA42" i="119" s="1"/>
  <c r="BZ18" i="119"/>
  <c r="CA18" i="119" s="1"/>
  <c r="BZ39" i="119"/>
  <c r="CA39" i="119" s="1"/>
  <c r="BZ46" i="119"/>
  <c r="CA46" i="119" s="1"/>
  <c r="BZ25" i="119"/>
  <c r="CA25" i="119" s="1"/>
  <c r="BZ13" i="119"/>
  <c r="CA13" i="119" s="1"/>
  <c r="BZ20" i="119"/>
  <c r="CA20" i="119" s="1"/>
  <c r="BZ15" i="119"/>
  <c r="CA15" i="119" s="1"/>
  <c r="BZ26" i="119"/>
  <c r="CA26" i="119" s="1"/>
  <c r="CB51" i="119" l="1"/>
  <c r="CC51" i="119" s="1"/>
  <c r="CB28" i="119"/>
  <c r="CC28" i="119" s="1"/>
  <c r="CB23" i="119"/>
  <c r="CC23" i="119" s="1"/>
  <c r="CB44" i="119"/>
  <c r="CC44" i="119" s="1"/>
  <c r="CB36" i="119"/>
  <c r="CC36" i="119" s="1"/>
  <c r="CB33" i="119"/>
  <c r="CC33" i="119" s="1"/>
  <c r="CB41" i="119"/>
  <c r="CC41" i="119" s="1"/>
  <c r="CB26" i="119"/>
  <c r="CC26" i="119" s="1"/>
  <c r="CB15" i="119"/>
  <c r="CC15" i="119" s="1"/>
  <c r="CB31" i="119"/>
  <c r="CC31" i="119" s="1"/>
  <c r="CB19" i="119"/>
  <c r="CC19" i="119" s="1"/>
  <c r="CB34" i="119"/>
  <c r="CC34" i="119" s="1"/>
  <c r="CB29" i="119"/>
  <c r="CC29" i="119" s="1"/>
  <c r="CB48" i="119"/>
  <c r="CC48" i="119" s="1"/>
  <c r="CB21" i="119"/>
  <c r="CC21" i="119" s="1"/>
  <c r="CB40" i="119"/>
  <c r="CC40" i="119" s="1"/>
  <c r="CB47" i="119"/>
  <c r="CC47" i="119" s="1"/>
  <c r="CB32" i="119"/>
  <c r="CC32" i="119" s="1"/>
  <c r="CB13" i="119"/>
  <c r="CC13" i="119" s="1"/>
  <c r="CB25" i="119"/>
  <c r="CC25" i="119" s="1"/>
  <c r="CB17" i="119"/>
  <c r="CC17" i="119" s="1"/>
  <c r="CB46" i="119"/>
  <c r="CC46" i="119" s="1"/>
  <c r="CB39" i="119"/>
  <c r="CC39" i="119" s="1"/>
  <c r="CB38" i="119"/>
  <c r="CC38" i="119" s="1"/>
  <c r="CB22" i="119"/>
  <c r="CC22" i="119" s="1"/>
  <c r="CB16" i="119"/>
  <c r="CC16" i="119" s="1"/>
  <c r="CB24" i="119"/>
  <c r="CC24" i="119" s="1"/>
  <c r="CB45" i="119"/>
  <c r="CC45" i="119" s="1"/>
  <c r="CB27" i="119"/>
  <c r="CC27" i="119" s="1"/>
  <c r="CB20" i="119"/>
  <c r="CC20" i="119" s="1"/>
  <c r="CB49" i="119"/>
  <c r="CC49" i="119" s="1"/>
  <c r="CB18" i="119"/>
  <c r="CC18" i="119" s="1"/>
  <c r="CB30" i="119"/>
  <c r="CC30" i="119" s="1"/>
  <c r="CB43" i="119"/>
  <c r="CC43" i="119" s="1"/>
  <c r="CB50" i="119"/>
  <c r="CC50" i="119" s="1"/>
  <c r="CB14" i="119"/>
  <c r="CC14" i="119" s="1"/>
  <c r="CB35" i="119"/>
  <c r="CC35" i="119" s="1"/>
  <c r="CB42" i="119"/>
  <c r="CC42" i="119" s="1"/>
  <c r="CB12" i="119"/>
  <c r="CC12" i="119" l="1"/>
  <c r="CD12" i="119" s="1"/>
  <c r="CG12" i="119"/>
  <c r="CG27" i="119"/>
  <c r="CH27" i="119" s="1"/>
  <c r="CD27" i="119"/>
  <c r="CD45" i="119"/>
  <c r="CG24" i="119"/>
  <c r="CH24" i="119" s="1"/>
  <c r="CD24" i="119"/>
  <c r="CD16" i="119"/>
  <c r="CG38" i="119"/>
  <c r="CH38" i="119" s="1"/>
  <c r="CD38" i="119"/>
  <c r="CG42" i="119"/>
  <c r="CH42" i="119" s="1"/>
  <c r="CD42" i="119"/>
  <c r="CG36" i="119"/>
  <c r="CH36" i="119" s="1"/>
  <c r="CD36" i="119"/>
  <c r="CG28" i="119"/>
  <c r="CH28" i="119" s="1"/>
  <c r="CD28" i="119"/>
  <c r="CD41" i="119"/>
  <c r="CD44" i="119"/>
  <c r="CG31" i="119"/>
  <c r="CH31" i="119" s="1"/>
  <c r="CD31" i="119"/>
  <c r="CD26" i="119"/>
  <c r="CG33" i="119"/>
  <c r="CH33" i="119" s="1"/>
  <c r="CD33" i="119"/>
  <c r="CG43" i="119"/>
  <c r="CH43" i="119" s="1"/>
  <c r="CD43" i="119"/>
  <c r="CG29" i="119"/>
  <c r="CH29" i="119" s="1"/>
  <c r="CD29" i="119"/>
  <c r="CD34" i="119"/>
  <c r="CG19" i="119"/>
  <c r="CH19" i="119" s="1"/>
  <c r="CD19" i="119"/>
  <c r="CD22" i="119"/>
  <c r="CG15" i="119"/>
  <c r="CH15" i="119" s="1"/>
  <c r="CD15" i="119"/>
  <c r="CD39" i="119"/>
  <c r="CG46" i="119"/>
  <c r="CH46" i="119" s="1"/>
  <c r="CD46" i="119"/>
  <c r="CD35" i="119"/>
  <c r="CG17" i="119"/>
  <c r="CH17" i="119" s="1"/>
  <c r="CD17" i="119"/>
  <c r="CG14" i="119"/>
  <c r="CH14" i="119" s="1"/>
  <c r="CD14" i="119"/>
  <c r="CG25" i="119"/>
  <c r="CH25" i="119" s="1"/>
  <c r="CD25" i="119"/>
  <c r="CD50" i="119"/>
  <c r="CG13" i="119"/>
  <c r="CH13" i="119" s="1"/>
  <c r="CD13" i="119"/>
  <c r="CD32" i="119"/>
  <c r="CG23" i="119"/>
  <c r="CH23" i="119" s="1"/>
  <c r="CD23" i="119"/>
  <c r="CG30" i="119"/>
  <c r="CH30" i="119" s="1"/>
  <c r="CD30" i="119"/>
  <c r="CG47" i="119"/>
  <c r="CH47" i="119" s="1"/>
  <c r="CD47" i="119"/>
  <c r="CG18" i="119"/>
  <c r="CH18" i="119" s="1"/>
  <c r="CD18" i="119"/>
  <c r="CG40" i="119"/>
  <c r="CH40" i="119" s="1"/>
  <c r="CD40" i="119"/>
  <c r="CD49" i="119"/>
  <c r="CD21" i="119"/>
  <c r="CG20" i="119"/>
  <c r="CH20" i="119" s="1"/>
  <c r="CD20" i="119"/>
  <c r="CG48" i="119"/>
  <c r="CH48" i="119" s="1"/>
  <c r="CD48" i="119"/>
  <c r="CG22" i="119"/>
  <c r="CH22" i="119" s="1"/>
  <c r="CG49" i="119"/>
  <c r="CH49" i="119" s="1"/>
  <c r="CG39" i="119"/>
  <c r="CH39" i="119" s="1"/>
  <c r="CG21" i="119"/>
  <c r="CH21" i="119" s="1"/>
  <c r="CG26" i="119"/>
  <c r="CH26" i="119" s="1"/>
  <c r="CG50" i="119"/>
  <c r="CH50" i="119" s="1"/>
  <c r="CG44" i="119"/>
  <c r="CH44" i="119" s="1"/>
  <c r="CG45" i="119"/>
  <c r="CH45" i="119" s="1"/>
  <c r="CG16" i="119"/>
  <c r="CH16" i="119" s="1"/>
  <c r="CG32" i="119"/>
  <c r="CH32" i="119" s="1"/>
  <c r="CG35" i="119"/>
  <c r="CH35" i="119" s="1"/>
  <c r="CG41" i="119"/>
  <c r="CH41" i="119" s="1"/>
  <c r="CG34" i="119"/>
  <c r="CH34" i="119" s="1"/>
  <c r="CK42" i="119" l="1"/>
  <c r="CK38" i="119"/>
  <c r="CK20" i="119"/>
  <c r="CO20" i="119"/>
  <c r="CO46" i="119"/>
  <c r="CK46" i="119"/>
  <c r="CK40" i="119"/>
  <c r="CK21" i="119"/>
  <c r="CK31" i="119"/>
  <c r="CO31" i="119"/>
  <c r="CK50" i="119"/>
  <c r="CK24" i="119"/>
  <c r="CO15" i="119"/>
  <c r="CK15" i="119"/>
  <c r="CK19" i="119"/>
  <c r="CK14" i="119"/>
  <c r="CK43" i="119"/>
  <c r="CK33" i="119"/>
  <c r="CK26" i="119"/>
  <c r="CK39" i="119"/>
  <c r="CK49" i="119"/>
  <c r="CK34" i="119"/>
  <c r="CK41" i="119"/>
  <c r="CK28" i="119"/>
  <c r="CK27" i="119"/>
  <c r="CK23" i="119"/>
  <c r="CO23" i="119"/>
  <c r="CK44" i="119"/>
  <c r="CK13" i="119"/>
  <c r="CK25" i="119"/>
  <c r="CK22" i="119"/>
  <c r="CK35" i="119"/>
  <c r="CK48" i="119"/>
  <c r="CK30" i="119"/>
  <c r="CK17" i="119"/>
  <c r="CK29" i="119"/>
  <c r="CK16" i="119"/>
  <c r="CK45" i="119"/>
  <c r="CK18" i="119"/>
  <c r="CK47" i="119"/>
  <c r="CK32" i="119"/>
  <c r="CK36" i="119"/>
  <c r="CI23" i="119"/>
  <c r="CI15" i="119"/>
  <c r="CI17" i="119"/>
  <c r="CI24" i="119"/>
  <c r="CI50" i="119"/>
  <c r="CI13" i="119"/>
  <c r="CI19" i="119"/>
  <c r="CI36" i="119"/>
  <c r="CI22" i="119"/>
  <c r="CI44" i="119"/>
  <c r="CI26" i="119"/>
  <c r="CI20" i="119"/>
  <c r="CI47" i="119"/>
  <c r="CI14" i="119"/>
  <c r="CI45" i="119"/>
  <c r="CI28" i="119"/>
  <c r="CI18" i="119"/>
  <c r="CI21" i="119"/>
  <c r="CI46" i="119"/>
  <c r="CI31" i="119"/>
  <c r="CI42" i="119"/>
  <c r="CI27" i="119"/>
  <c r="CI16" i="119"/>
  <c r="CI33" i="119"/>
  <c r="CI41" i="119"/>
  <c r="CI35" i="119"/>
  <c r="CI39" i="119"/>
  <c r="CI30" i="119"/>
  <c r="CI25" i="119"/>
  <c r="CI29" i="119"/>
  <c r="CI40" i="119"/>
  <c r="CI43" i="119"/>
  <c r="CI48" i="119"/>
  <c r="CI34" i="119"/>
  <c r="CI32" i="119"/>
  <c r="CI49" i="119"/>
  <c r="CI38" i="119"/>
  <c r="CD51" i="119"/>
  <c r="CH12" i="119"/>
  <c r="CG51" i="119"/>
  <c r="CO51" i="119" l="1"/>
  <c r="CK12" i="119"/>
  <c r="CH51" i="119"/>
  <c r="CK51" i="119" s="1"/>
  <c r="CL37" i="119" s="1"/>
  <c r="CN37" i="119" s="1"/>
  <c r="CI12" i="119"/>
  <c r="CI51" i="119" s="1"/>
  <c r="CL47" i="119" l="1"/>
  <c r="CN47" i="119" s="1"/>
  <c r="CL25" i="119"/>
  <c r="CN25" i="119" s="1"/>
  <c r="CL15" i="119"/>
  <c r="CN15" i="119" s="1"/>
  <c r="CL31" i="119"/>
  <c r="CN31" i="119" s="1"/>
  <c r="CL12" i="119"/>
  <c r="CN12" i="119" s="1"/>
  <c r="CL22" i="119"/>
  <c r="CN22" i="119" s="1"/>
  <c r="CL49" i="119"/>
  <c r="CN49" i="119" s="1"/>
  <c r="CL33" i="119"/>
  <c r="CN33" i="119" s="1"/>
  <c r="CL46" i="119"/>
  <c r="CN46" i="119" s="1"/>
  <c r="CL43" i="119"/>
  <c r="CN43" i="119" s="1"/>
  <c r="CL32" i="119"/>
  <c r="CN32" i="119" s="1"/>
  <c r="CL45" i="119"/>
  <c r="CN45" i="119" s="1"/>
  <c r="CL26" i="119"/>
  <c r="CN26" i="119" s="1"/>
  <c r="CL34" i="119"/>
  <c r="CN34" i="119" s="1"/>
  <c r="CL27" i="119"/>
  <c r="CN27" i="119" s="1"/>
  <c r="CL36" i="119"/>
  <c r="CN36" i="119" s="1"/>
  <c r="CL44" i="119"/>
  <c r="CN44" i="119" s="1"/>
  <c r="CL35" i="119"/>
  <c r="CN35" i="119" s="1"/>
  <c r="CL28" i="119"/>
  <c r="CN28" i="119" s="1"/>
  <c r="CL38" i="119"/>
  <c r="CN38" i="119" s="1"/>
  <c r="CL41" i="119"/>
  <c r="CN41" i="119" s="1"/>
  <c r="CL14" i="119"/>
  <c r="CN14" i="119" s="1"/>
  <c r="CL17" i="119"/>
  <c r="CN17" i="119" s="1"/>
  <c r="CL48" i="119"/>
  <c r="CN48" i="119" s="1"/>
  <c r="CL30" i="119"/>
  <c r="CN30" i="119" s="1"/>
  <c r="CL39" i="119"/>
  <c r="CN39" i="119" s="1"/>
  <c r="CL42" i="119"/>
  <c r="CN42" i="119" s="1"/>
  <c r="CL24" i="119"/>
  <c r="CN24" i="119" s="1"/>
  <c r="CL20" i="119"/>
  <c r="CN20" i="119" s="1"/>
  <c r="CL40" i="119"/>
  <c r="CN40" i="119" s="1"/>
  <c r="CL16" i="119"/>
  <c r="CN16" i="119" s="1"/>
  <c r="CL23" i="119"/>
  <c r="CN23" i="119" s="1"/>
  <c r="CL29" i="119"/>
  <c r="CN29" i="119" s="1"/>
  <c r="CL50" i="119"/>
  <c r="CN50" i="119" s="1"/>
  <c r="CL13" i="119"/>
  <c r="CN13" i="119" s="1"/>
  <c r="CL21" i="119"/>
  <c r="CN21" i="119" s="1"/>
  <c r="CL18" i="119"/>
  <c r="CN18" i="119" s="1"/>
  <c r="CL19" i="119"/>
  <c r="CN19" i="1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VITA Program</author>
    <author>tc={9D6F9B68-4DD1-4951-9BBB-D6620207DF7D}</author>
  </authors>
  <commentList>
    <comment ref="BY9" authorId="0" shapeId="0" xr:uid="{35FB502F-98C9-42AF-ACA1-7774669BC4E1}">
      <text>
        <r>
          <rPr>
            <b/>
            <sz val="9"/>
            <color indexed="81"/>
            <rFont val="Tahoma"/>
            <family val="2"/>
          </rPr>
          <t>VITA Program:</t>
        </r>
        <r>
          <rPr>
            <sz val="9"/>
            <color indexed="81"/>
            <rFont val="Tahoma"/>
            <family val="2"/>
          </rPr>
          <t xml:space="preserve">
added 'or' statement to formula to ensure anyone at the 30% cap does not get additional state funding. (Note from Finance FY22/23 timeframe)</t>
        </r>
      </text>
    </comment>
    <comment ref="BQ11" authorId="1" shapeId="0" xr:uid="{9D6F9B68-4DD1-4951-9BBB-D6620207DF7D}">
      <text>
        <t>[Threaded comment]
Your version of Excel allows you to read this threaded comment; however, any edits to it will get removed if the file is opened in a newer version of Excel. Learn more: https://go.microsoft.com/fwlink/?linkid=870924
Comment:
    If agencies are above 30%, a second round of re-allocation is needed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tc={8C64585B-2E70-4F91-BE32-966B1822472C}</author>
    <author>tc={A277141A-ADF9-45D5-BD75-EB5B2062E9F5}</author>
    <author>tc={6CF1EA1E-3733-4B11-9B16-AA9D1C5B49E0}</author>
    <author>tc={C1D75439-8966-49E2-9353-8E3BC3E25989}</author>
    <author>tc={1382D314-2C60-4B4F-85A4-FC9D3AC77C83}</author>
    <author>tc={CECEC50C-D98C-41D0-9DFC-D8AA504DB917}</author>
    <author>tc={B6BBADEE-A052-46F2-8C29-376708320714}</author>
    <author>tc={9EC8208F-C73C-42C0-8F79-45ED2DF969BC}</author>
    <author>tc={8F652480-9BCA-4DD5-BA73-2A56E37C5FA3}</author>
  </authors>
  <commentList>
    <comment ref="B7" authorId="0" shapeId="0" xr:uid="{8C64585B-2E70-4F91-BE32-966B1822472C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C7" authorId="1" shapeId="0" xr:uid="{A277141A-ADF9-45D5-BD75-EB5B2062E9F5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7" authorId="2" shapeId="0" xr:uid="{6CF1EA1E-3733-4B11-9B16-AA9D1C5B49E0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19" authorId="3" shapeId="0" xr:uid="{C1D75439-8966-49E2-9353-8E3BC3E25989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3/6/26 based on updates provided in performance data reporting.</t>
      </text>
    </comment>
    <comment ref="C24" authorId="4" shapeId="0" xr:uid="{1382D314-2C60-4B4F-85A4-FC9D3AC77C83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this figure.
Reply:
    To reflect PRTC requested changes to FY23 reporting.</t>
      </text>
    </comment>
    <comment ref="B37" authorId="5" shapeId="0" xr:uid="{CECEC50C-D98C-41D0-9DFC-D8AA504DB917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37" authorId="6" shapeId="0" xr:uid="{B6BBADEE-A052-46F2-8C29-376708320714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37" authorId="7" shapeId="0" xr:uid="{9EC8208F-C73C-42C0-8F79-45ED2DF969BC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40" authorId="8" shapeId="0" xr:uid="{8F652480-9BCA-4DD5-BA73-2A56E37C5FA3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VRT and NSVRC (ShenGo Demo) reported figures.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tc={E37A4BEF-C96C-4BA1-A0D2-A7F822B2D3AE}</author>
    <author>tc={CAA8D374-F452-465E-A64F-9E1F4248FCE8}</author>
    <author>tc={C4EFF538-7791-4C5F-9327-165D799F44C9}</author>
    <author>tc={6EA59C85-F490-40F9-95E6-D88E836D9180}</author>
    <author>tc={2144C367-A545-477F-B335-63A5765A6A78}</author>
    <author>tc={BC14373F-05BB-47C1-B067-B00C6710F294}</author>
    <author>tc={2BB57FDB-9511-4635-940B-CB537A2F309E}</author>
    <author>tc={EAB1F975-983B-40CD-BBA6-5D4250BE0276}</author>
    <author>tc={06C4B437-0788-4920-A22A-C0FDEADB261C}</author>
    <author>tc={C0E47389-8B10-47AD-8A49-8018C97803AD}</author>
    <author>tc={F86E2018-AAE3-4855-8695-97752CBDE1DB}</author>
    <author>tc={A9DA97EC-E222-495E-92A9-C573B014FEA9}</author>
    <author>tc={AF6DB1EB-D3E2-4AEB-B936-20F3355D640B}</author>
    <author>tc={B302D0CA-7ED9-41FD-A2C3-AE22F3E63757}</author>
    <author>tc={F47D1E2B-9247-4222-8D1E-9A90EDCBABA8}</author>
    <author>tc={DC2BBDF7-12D9-4C77-8BEB-B1D3C90072D9}</author>
    <author>tc={A29E7398-62D7-4084-A34E-5EFF0BD2AEDF}</author>
    <author>tc={8ED0E184-8FC3-4BC1-BC7D-AEF9E27984B4}</author>
    <author>tc={A20D73F2-78E1-4FB2-B21F-3A8E446173D8}</author>
    <author>tc={3CAF34A1-21BD-4E2F-BE9E-0F1842381763}</author>
  </authors>
  <commentList>
    <comment ref="B7" authorId="0" shapeId="0" xr:uid="{E37A4BEF-C96C-4BA1-A0D2-A7F822B2D3AE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C7" authorId="1" shapeId="0" xr:uid="{CAA8D374-F452-465E-A64F-9E1F4248FCE8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7" authorId="2" shapeId="0" xr:uid="{C4EFF538-7791-4C5F-9327-165D799F44C9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13" authorId="3" shapeId="0" xr:uid="{6EA59C85-F490-40F9-95E6-D88E836D9180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3/6/26 based on RY24 NTD reporting</t>
      </text>
    </comment>
    <comment ref="B19" authorId="4" shapeId="0" xr:uid="{2144C367-A545-477F-B335-63A5765A6A78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19" authorId="5" shapeId="0" xr:uid="{BC14373F-05BB-47C1-B067-B00C6710F294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19" authorId="6" shapeId="0" xr:uid="{2BB57FDB-9511-4635-940B-CB537A2F309E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19" authorId="7" shapeId="0" xr:uid="{EAB1F975-983B-40CD-BBA6-5D4250BE0276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B23" authorId="8" shapeId="0" xr:uid="{06C4B437-0788-4920-A22A-C0FDEADB261C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B24" authorId="9" shapeId="0" xr:uid="{C0E47389-8B10-47AD-8A49-8018C97803AD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24" authorId="10" shapeId="0" xr:uid="{F86E2018-AAE3-4855-8695-97752CBDE1DB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24" authorId="11" shapeId="0" xr:uid="{A9DA97EC-E222-495E-92A9-C573B014FEA9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24" authorId="12" shapeId="0" xr:uid="{AF6DB1EB-D3E2-4AEB-B936-20F3355D640B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26" authorId="13" shapeId="0" xr:uid="{B302D0CA-7ED9-41FD-A2C3-AE22F3E63757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26" authorId="14" shapeId="0" xr:uid="{F47D1E2B-9247-4222-8D1E-9A90EDCBABA8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26" authorId="15" shapeId="0" xr:uid="{DC2BBDF7-12D9-4C77-8BEB-B1D3C90072D9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B37" authorId="16" shapeId="0" xr:uid="{A29E7398-62D7-4084-A34E-5EFF0BD2AEDF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37" authorId="17" shapeId="0" xr:uid="{8ED0E184-8FC3-4BC1-BC7D-AEF9E27984B4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37" authorId="18" shapeId="0" xr:uid="{A20D73F2-78E1-4FB2-B21F-3A8E446173D8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40" authorId="19" shapeId="0" xr:uid="{3CAF34A1-21BD-4E2F-BE9E-0F1842381763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VRT and NSVRC (ShenGo Demo) reported figures.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tc={4F7C5641-37F3-4B2D-A4D7-6872DDF89AC4}</author>
    <author>tc={127DAAE4-0F6E-4B3F-9147-387314B2696A}</author>
    <author>tc={F49D1564-2F24-4850-8B64-212DFDFBF4DF}</author>
    <author>tc={00C0880E-52D3-478E-9A36-82EAE1010802}</author>
    <author>tc={61BD9924-3B6F-4E81-8384-1865B28B30CF}</author>
    <author>tc={07EF9F89-92F1-43E7-87B0-4239202D07FD}</author>
    <author>tc={24BCA393-EE54-4FEB-B39C-7F0988358ECB}</author>
    <author>tc={C0F3EB5D-0AFF-4951-8076-80DB4334D4EB}</author>
    <author>tc={65FA7240-22F2-46C0-9DF3-F46B78770CE7}</author>
    <author>tc={7DF57E5A-0769-4227-A205-491891548E67}</author>
    <author>tc={CEDA2E6D-0183-43A4-9C2C-5B6B60E943A5}</author>
    <author>tc={DDC1B100-69AC-4C5F-A0C6-610EC1DEF51E}</author>
    <author>tc={7BEB2C03-1EA1-4470-AE69-5CC9AD1726E4}</author>
    <author>tc={0BCC0D82-A58C-4633-8E8B-5CC19B7B87B6}</author>
    <author>tc={14934EF4-265F-4F3B-8348-6BCCC679F004}</author>
    <author>tc={8B942C66-5A84-48B1-94A5-8630DAFB9941}</author>
    <author>tc={659A4C90-0371-4182-81F5-36BEB527D22B}</author>
    <author>tc={F44012D5-3BD4-4BAB-B3CF-D130548E41B3}</author>
    <author>tc={F099F260-0560-4A38-94E0-3B656BE49EED}</author>
    <author>tc={3E979E27-75C4-4570-B349-530C911DEDD8}</author>
  </authors>
  <commentList>
    <comment ref="B7" authorId="0" shapeId="0" xr:uid="{4F7C5641-37F3-4B2D-A4D7-6872DDF89AC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C7" authorId="1" shapeId="0" xr:uid="{127DAAE4-0F6E-4B3F-9147-387314B2696A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7" authorId="2" shapeId="0" xr:uid="{F49D1564-2F24-4850-8B64-212DFDFBF4D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13" authorId="3" shapeId="0" xr:uid="{00C0880E-52D3-478E-9A36-82EAE1010802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3/6/26 based on RY24 NTD reporting</t>
      </text>
    </comment>
    <comment ref="B19" authorId="4" shapeId="0" xr:uid="{61BD9924-3B6F-4E81-8384-1865B28B30C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&gt;20
Reply:
    +10,112</t>
      </text>
    </comment>
    <comment ref="C19" authorId="5" shapeId="0" xr:uid="{07EF9F89-92F1-43E7-87B0-4239202D07FD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+10,206</t>
      </text>
    </comment>
    <comment ref="D19" authorId="6" shapeId="0" xr:uid="{24BCA393-EE54-4FEB-B39C-7F0988358EC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+ 12,922.92 </t>
      </text>
    </comment>
    <comment ref="E19" authorId="7" shapeId="0" xr:uid="{C0F3EB5D-0AFF-4951-8076-80DB4334D4EB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+ 16,940</t>
      </text>
    </comment>
    <comment ref="B23" authorId="8" shapeId="0" xr:uid="{65FA7240-22F2-46C0-9DF3-F46B78770CE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&gt;20
Reply:
    +2521</t>
      </text>
    </comment>
    <comment ref="B24" authorId="9" shapeId="0" xr:uid="{7DF57E5A-0769-4227-A205-491891548E6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communter routes &gt;20mi
Reply:
    +71,220</t>
      </text>
    </comment>
    <comment ref="C24" authorId="10" shapeId="0" xr:uid="{CEDA2E6D-0183-43A4-9C2C-5B6B60E943A5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+57,989</t>
      </text>
    </comment>
    <comment ref="D24" authorId="11" shapeId="0" xr:uid="{DDC1B100-69AC-4C5F-A0C6-610EC1DEF51E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+ 62,202</t>
      </text>
    </comment>
    <comment ref="E24" authorId="12" shapeId="0" xr:uid="{7BEB2C03-1EA1-4470-AE69-5CC9AD1726E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+ 66,989</t>
      </text>
    </comment>
    <comment ref="C26" authorId="13" shapeId="0" xr:uid="{0BCC0D82-A58C-4633-8E8B-5CC19B7B87B6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+1,652</t>
      </text>
    </comment>
    <comment ref="D26" authorId="14" shapeId="0" xr:uid="{14934EF4-265F-4F3B-8348-6BCCC679F00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+2,457</t>
      </text>
    </comment>
    <comment ref="E26" authorId="15" shapeId="0" xr:uid="{8B942C66-5A84-48B1-94A5-8630DAFB994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+ 646</t>
      </text>
    </comment>
    <comment ref="B37" authorId="16" shapeId="0" xr:uid="{659A4C90-0371-4182-81F5-36BEB527D22B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37" authorId="17" shapeId="0" xr:uid="{F44012D5-3BD4-4BAB-B3CF-D130548E41B3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37" authorId="18" shapeId="0" xr:uid="{F099F260-0560-4A38-94E0-3B656BE49EED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40" authorId="19" shapeId="0" xr:uid="{3E979E27-75C4-4570-B349-530C911DEDD8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VRT and NSVRC (ShenGo Demo) reported figures.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tc={36B59CE7-6EA7-4A4C-8C65-41A774D6247C}</author>
    <author>tc={01AA1706-6211-4EC1-9B53-DC0D5257D0C6}</author>
    <author>tc={8679D202-1F25-4F9E-8AF8-4978D6D3946D}</author>
    <author>tc={9542FD89-06A6-4365-B2E8-6B836991A2FA}</author>
    <author>tc={57F4361C-DB2E-4816-9FDC-CBD6A027A4C4}</author>
    <author>tc={667CCC38-3D80-48E6-8EE7-1C07F871B1EF}</author>
    <author>tc={A7A65532-6867-47BA-B61E-8E4F5CCA185A}</author>
    <author>tc={FD0C58DD-1080-490F-A1F1-B9C42CAF4E8D}</author>
    <author>tc={526095B3-9EB1-4E4D-85D2-161749A9C6FC}</author>
    <author>tc={ED891C40-F5A4-44FC-93E0-2C2119571A58}</author>
    <author>tc={BB9CBB00-D506-44AF-A6AB-68070A8AC55B}</author>
    <author>tc={AAFF671F-045C-4509-B170-D7D26A1F8AC5}</author>
    <author>tc={869D37C6-E99D-4C50-982E-D51ACDAD24E3}</author>
    <author>tc={A97E43FD-C0C5-4FAC-82E7-03C42C6BCE9C}</author>
    <author>tc={D536238D-4FB7-4FD8-984A-ACF5B0ABDDEB}</author>
    <author>tc={04C4D234-BEF8-4A51-ABC5-8154AA61AD4F}</author>
    <author>tc={0A1D32ED-53D1-4D40-A597-88BBADB55E12}</author>
    <author>tc={B567F46C-6771-4AF7-9B67-0512FA3222E7}</author>
    <author>tc={15FF8BDB-F2EB-4480-9DEF-6C55D4CB3C02}</author>
    <author>tc={588EDEA2-7C53-4AC9-AB58-E3D29CF986AA}</author>
  </authors>
  <commentList>
    <comment ref="B7" authorId="0" shapeId="0" xr:uid="{36B59CE7-6EA7-4A4C-8C65-41A774D6247C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C7" authorId="1" shapeId="0" xr:uid="{01AA1706-6211-4EC1-9B53-DC0D5257D0C6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7" authorId="2" shapeId="0" xr:uid="{8679D202-1F25-4F9E-8AF8-4978D6D3946D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13" authorId="3" shapeId="0" xr:uid="{9542FD89-06A6-4365-B2E8-6B836991A2FA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3/3/26 based on RY24 NTD reporting</t>
      </text>
    </comment>
    <comment ref="B19" authorId="4" shapeId="0" xr:uid="{57F4361C-DB2E-4816-9FDC-CBD6A027A4C4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19" authorId="5" shapeId="0" xr:uid="{667CCC38-3D80-48E6-8EE7-1C07F871B1EF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19" authorId="6" shapeId="0" xr:uid="{A7A65532-6867-47BA-B61E-8E4F5CCA185A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19" authorId="7" shapeId="0" xr:uid="{FD0C58DD-1080-490F-A1F1-B9C42CAF4E8D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B23" authorId="8" shapeId="0" xr:uid="{526095B3-9EB1-4E4D-85D2-161749A9C6FC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B24" authorId="9" shapeId="0" xr:uid="{ED891C40-F5A4-44FC-93E0-2C2119571A58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24" authorId="10" shapeId="0" xr:uid="{BB9CBB00-D506-44AF-A6AB-68070A8AC55B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24" authorId="11" shapeId="0" xr:uid="{AAFF671F-045C-4509-B170-D7D26A1F8AC5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24" authorId="12" shapeId="0" xr:uid="{869D37C6-E99D-4C50-982E-D51ACDAD24E3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26" authorId="13" shapeId="0" xr:uid="{A97E43FD-C0C5-4FAC-82E7-03C42C6BCE9C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26" authorId="14" shapeId="0" xr:uid="{D536238D-4FB7-4FD8-984A-ACF5B0ABDDEB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26" authorId="15" shapeId="0" xr:uid="{04C4D234-BEF8-4A51-ABC5-8154AA61AD4F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B37" authorId="16" shapeId="0" xr:uid="{0A1D32ED-53D1-4D40-A597-88BBADB55E12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37" authorId="17" shapeId="0" xr:uid="{B567F46C-6771-4AF7-9B67-0512FA3222E7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37" authorId="18" shapeId="0" xr:uid="{15FF8BDB-F2EB-4480-9DEF-6C55D4CB3C02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40" authorId="19" shapeId="0" xr:uid="{588EDEA2-7C53-4AC9-AB58-E3D29CF986AA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VRT and NSVRC (ShenGo Demo) reported figures.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tc={AA156444-9B68-4DF9-AE0B-359B68D9A516}</author>
    <author>tc={BC9C50B9-9D70-450D-8F3F-CD2E7D5DB5DF}</author>
    <author>tc={85E228B9-BAEA-4B57-B485-059E54B1C691}</author>
    <author>tc={8206DE07-C1CE-48A0-B220-4C3A0A4AD249}</author>
    <author>tc={4CFB3F2D-451A-455F-8F99-F95DB2E03592}</author>
    <author>tc={D863D709-1B89-4A56-B715-39539AD901BC}</author>
    <author>tc={925C265C-A6CA-4A8D-ACBC-FD68FBDDE54B}</author>
    <author>tc={A8D1CA64-7D68-4DFD-B2A5-F366F4BB268C}</author>
    <author>tc={1813ED45-1CEA-4FCC-AFF3-052C0119B887}</author>
    <author>tc={9FFF7210-EA95-4B01-BDC2-DB6DB9E6DC27}</author>
    <author>tc={38C7C36D-1BE6-4BF0-A954-67599771BF83}</author>
    <author>tc={7725B155-FFB7-40C8-B4C9-FD188E3DF762}</author>
    <author>tc={23333B26-4EF1-4475-BA88-4F873232CA6F}</author>
    <author>tc={AF663CEF-F051-4A7E-94F9-75328E24E595}</author>
    <author>tc={2FEA4CF8-A9FD-492C-B8E2-84C9FD882180}</author>
    <author>tc={98A0A1CE-21BE-4FBE-82AA-BCCCF29BE99A}</author>
    <author>tc={E7E67C51-8ED5-4C3B-A82C-CA59648B5914}</author>
    <author>tc={B71C3FD2-805D-44DF-BDB9-1DF8B83F3BC3}</author>
    <author>tc={9264214D-2FDB-43DE-92BD-94675889E783}</author>
    <author>tc={D35B512E-5B89-464C-B1B2-A2BC4C2EFD7B}</author>
  </authors>
  <commentList>
    <comment ref="B7" authorId="0" shapeId="0" xr:uid="{AA156444-9B68-4DF9-AE0B-359B68D9A516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C7" authorId="1" shapeId="0" xr:uid="{BC9C50B9-9D70-450D-8F3F-CD2E7D5DB5D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7" authorId="2" shapeId="0" xr:uid="{85E228B9-BAEA-4B57-B485-059E54B1C69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13" authorId="3" shapeId="0" xr:uid="{8206DE07-C1CE-48A0-B220-4C3A0A4AD249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3/3/26 based on RY24 NTD reporting</t>
      </text>
    </comment>
    <comment ref="B19" authorId="4" shapeId="0" xr:uid="{4CFB3F2D-451A-455F-8F99-F95DB2E03592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&gt;20
Reply:
    +427962.5</t>
      </text>
    </comment>
    <comment ref="C19" authorId="5" shapeId="0" xr:uid="{D863D709-1B89-4A56-B715-39539AD901BC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+ 501,367</t>
      </text>
    </comment>
    <comment ref="D19" authorId="6" shapeId="0" xr:uid="{925C265C-A6CA-4A8D-ACBC-FD68FBDDE54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+ 587,607 </t>
      </text>
    </comment>
    <comment ref="E19" authorId="7" shapeId="0" xr:uid="{A8D1CA64-7D68-4DFD-B2A5-F366F4BB268C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+ 544,235</t>
      </text>
    </comment>
    <comment ref="B23" authorId="8" shapeId="0" xr:uid="{1813ED45-1CEA-4FCC-AFF3-052C0119B88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&gt;20
Reply:
    +85,445</t>
      </text>
    </comment>
    <comment ref="B24" authorId="9" shapeId="0" xr:uid="{9FFF7210-EA95-4B01-BDC2-DB6DB9E6DC2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communter routes &gt;20mi
Reply:
    +1,905,553</t>
      </text>
    </comment>
    <comment ref="C24" authorId="10" shapeId="0" xr:uid="{38C7C36D-1BE6-4BF0-A954-67599771BF83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+1,784,701</t>
      </text>
    </comment>
    <comment ref="D24" authorId="11" shapeId="0" xr:uid="{7725B155-FFB7-40C8-B4C9-FD188E3DF762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+ 1,922,948</t>
      </text>
    </comment>
    <comment ref="E24" authorId="12" shapeId="0" xr:uid="{23333B26-4EF1-4475-BA88-4F873232CA6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+2,078,432</t>
      </text>
    </comment>
    <comment ref="C26" authorId="13" shapeId="0" xr:uid="{AF663CEF-F051-4A7E-94F9-75328E24E59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+34,410 </t>
      </text>
    </comment>
    <comment ref="D26" authorId="14" shapeId="0" xr:uid="{2FEA4CF8-A9FD-492C-B8E2-84C9FD882180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+60,554</t>
      </text>
    </comment>
    <comment ref="E26" authorId="15" shapeId="0" xr:uid="{98A0A1CE-21BE-4FBE-82AA-BCCCF29BE99A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+ 11,322</t>
      </text>
    </comment>
    <comment ref="B37" authorId="16" shapeId="0" xr:uid="{E7E67C51-8ED5-4C3B-A82C-CA59648B5914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37" authorId="17" shapeId="0" xr:uid="{B71C3FD2-805D-44DF-BDB9-1DF8B83F3BC3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37" authorId="18" shapeId="0" xr:uid="{9264214D-2FDB-43DE-92BD-94675889E783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40" authorId="19" shapeId="0" xr:uid="{D35B512E-5B89-464C-B1B2-A2BC4C2EFD7B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VRT and NSVRC (ShenGo Demo) reported figures.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tc={1D5860C3-C898-4661-AD6C-AE71019F34DD}</author>
    <author>tc={05D90CC7-A741-4918-A355-094F68730A63}</author>
    <author>VITA Program</author>
    <author>tc={DBD12ACC-4628-4E06-A5D0-AA70AB547931}</author>
    <author>tc={20AEF51C-3D49-460D-9317-E9621B22F3A8}</author>
  </authors>
  <commentList>
    <comment ref="B7" authorId="0" shapeId="0" xr:uid="{1D5860C3-C898-4661-AD6C-AE71019F34DD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3/6/2025.  Includes Jaunt Urban.</t>
      </text>
    </comment>
    <comment ref="C7" authorId="1" shapeId="0" xr:uid="{05D90CC7-A741-4918-A355-094F68730A63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3/6/2025. Includes Jaunt Urban.</t>
      </text>
    </comment>
    <comment ref="B11" authorId="2" shapeId="0" xr:uid="{264B3F2A-AA78-4517-960C-7998968A8C8B}">
      <text>
        <r>
          <rPr>
            <b/>
            <sz val="9"/>
            <color indexed="81"/>
            <rFont val="Tahoma"/>
            <family val="2"/>
          </rPr>
          <t>VITA Program:</t>
        </r>
        <r>
          <rPr>
            <sz val="9"/>
            <color indexed="81"/>
            <rFont val="Tahoma"/>
            <family val="2"/>
          </rPr>
          <t xml:space="preserve">
changed from original list from 3/17/2022</t>
        </r>
      </text>
    </comment>
    <comment ref="B14" authorId="2" shapeId="0" xr:uid="{A4D2CC30-920D-4A45-A280-33A8173BBE6D}">
      <text>
        <r>
          <rPr>
            <b/>
            <sz val="9"/>
            <color indexed="81"/>
            <rFont val="Tahoma"/>
            <family val="2"/>
          </rPr>
          <t>VITA Program:</t>
        </r>
        <r>
          <rPr>
            <sz val="9"/>
            <color indexed="81"/>
            <rFont val="Tahoma"/>
            <family val="2"/>
          </rPr>
          <t xml:space="preserve">
changed from original schedule 3/17/2022</t>
        </r>
      </text>
    </comment>
    <comment ref="B37" authorId="3" shapeId="0" xr:uid="{DBD12ACC-4628-4E06-A5D0-AA70AB547931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3/6/2025.  Removes JAUNT Urban.</t>
      </text>
    </comment>
    <comment ref="C37" authorId="4" shapeId="0" xr:uid="{20AEF51C-3D49-460D-9317-E9621B22F3A8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3/6/2025.  Removes JAUNT Urban.</t>
      </text>
    </comment>
  </commentList>
</comments>
</file>

<file path=xl/sharedStrings.xml><?xml version="1.0" encoding="utf-8"?>
<sst xmlns="http://schemas.openxmlformats.org/spreadsheetml/2006/main" count="1334" uniqueCount="243">
  <si>
    <t>Sizing Metrics</t>
  </si>
  <si>
    <t>Performance Metric Trends                                                                                                         Performance Metric Trends                                                                                                           Performance Metric Trends                                                                                                         Performance Metric Trends                                                                                                         Performance Metric Trends</t>
  </si>
  <si>
    <t>Performance Weights</t>
  </si>
  <si>
    <t xml:space="preserve"> Initial Formula Allocation</t>
  </si>
  <si>
    <t>30% Cap Redistribution Round 1</t>
  </si>
  <si>
    <t>30% Cap Redistribution Round 2</t>
  </si>
  <si>
    <t xml:space="preserve"> Final Allocation</t>
  </si>
  <si>
    <t>Sizing Weights:</t>
  </si>
  <si>
    <t>Performance Metric Weight:</t>
  </si>
  <si>
    <t>Available Assistance:</t>
  </si>
  <si>
    <t>Operating Assistance Cap:</t>
  </si>
  <si>
    <t xml:space="preserve">Funding to Re-Allocate </t>
  </si>
  <si>
    <t>Funding to Re-Allocate</t>
  </si>
  <si>
    <t>*</t>
  </si>
  <si>
    <t>Construction District</t>
  </si>
  <si>
    <t>Recipient (Eligible Agency)</t>
  </si>
  <si>
    <t>Size-Weight (Hybrid)</t>
  </si>
  <si>
    <t>Performance Metric 1</t>
  </si>
  <si>
    <t>Performance Metric 2</t>
  </si>
  <si>
    <t>Performance Metric 3</t>
  </si>
  <si>
    <t>Performance Metric 4</t>
  </si>
  <si>
    <t>Performance Metric 5</t>
  </si>
  <si>
    <t>fixed formula</t>
  </si>
  <si>
    <t>Passengers per Revenue Hour</t>
  </si>
  <si>
    <t>Passengers per Revenue Mile</t>
  </si>
  <si>
    <t>Cost Per Revenue Hour</t>
  </si>
  <si>
    <t>Cost Per Revenue Mile</t>
  </si>
  <si>
    <t>Cost per Passenger</t>
  </si>
  <si>
    <t>Operating Assistance 30% Cap Calculations Round 1</t>
  </si>
  <si>
    <t>Re-Allocation of Capped Operating Assistance Round 1</t>
  </si>
  <si>
    <t>Operating Assistance 30% Cap Calculations Round 2</t>
  </si>
  <si>
    <t>Re-Allocation of Capped Operating Assistance Round 2</t>
  </si>
  <si>
    <t>FINAL FY25 OPERATING ASSISTANCE ALLOCATIONS</t>
  </si>
  <si>
    <t>Sizing Metrics Hybrid Weight</t>
  </si>
  <si>
    <r>
      <t xml:space="preserve">Sizing Metrics Hybrid Weight Normalized
</t>
    </r>
    <r>
      <rPr>
        <i/>
        <sz val="10"/>
        <color theme="0"/>
        <rFont val="Segoe UI"/>
        <family val="2"/>
      </rPr>
      <t xml:space="preserve"> (a) </t>
    </r>
  </si>
  <si>
    <r>
      <t>Trend Factor Relative to Statewide Trend</t>
    </r>
    <r>
      <rPr>
        <i/>
        <sz val="10"/>
        <color theme="0"/>
        <rFont val="Segoe UI"/>
        <family val="2"/>
      </rPr>
      <t xml:space="preserve"> (b)</t>
    </r>
  </si>
  <si>
    <r>
      <t xml:space="preserve">Size-Performance Weight
</t>
    </r>
    <r>
      <rPr>
        <i/>
        <sz val="10"/>
        <color theme="0"/>
        <rFont val="Segoe UI"/>
        <family val="2"/>
      </rPr>
      <t>(a)  * (b)</t>
    </r>
  </si>
  <si>
    <t xml:space="preserve">Normalized Size-Performance Weight 
</t>
  </si>
  <si>
    <r>
      <t xml:space="preserve">Trend Factor Relative to Statewide Trend </t>
    </r>
    <r>
      <rPr>
        <i/>
        <sz val="10"/>
        <color theme="0"/>
        <rFont val="Segoe UI"/>
        <family val="2"/>
      </rPr>
      <t>(c)</t>
    </r>
    <r>
      <rPr>
        <sz val="10"/>
        <color theme="0"/>
        <rFont val="Segoe UI"/>
        <family val="2"/>
      </rPr>
      <t xml:space="preserve">
</t>
    </r>
  </si>
  <si>
    <r>
      <t xml:space="preserve">Size-Performance Weight 
 </t>
    </r>
    <r>
      <rPr>
        <i/>
        <sz val="10"/>
        <color theme="0"/>
        <rFont val="Segoe UI"/>
        <family val="2"/>
      </rPr>
      <t>(a) * (c)</t>
    </r>
  </si>
  <si>
    <r>
      <t xml:space="preserve">Trend Factor Relative to Statewide Trend </t>
    </r>
    <r>
      <rPr>
        <i/>
        <sz val="10"/>
        <color theme="0"/>
        <rFont val="Segoe UI"/>
        <family val="2"/>
      </rPr>
      <t>(e)</t>
    </r>
    <r>
      <rPr>
        <sz val="10"/>
        <color theme="0"/>
        <rFont val="Segoe UI"/>
        <family val="2"/>
      </rPr>
      <t xml:space="preserve">
</t>
    </r>
  </si>
  <si>
    <r>
      <t>Size-Performance Weight</t>
    </r>
    <r>
      <rPr>
        <i/>
        <sz val="10"/>
        <color theme="0"/>
        <rFont val="Segoe UI"/>
        <family val="2"/>
      </rPr>
      <t xml:space="preserve"> 
(a) * (1/e)</t>
    </r>
  </si>
  <si>
    <r>
      <t xml:space="preserve">Trend Factor Relative to Statewide Trend </t>
    </r>
    <r>
      <rPr>
        <i/>
        <sz val="10"/>
        <color theme="0"/>
        <rFont val="Segoe UI"/>
        <family val="2"/>
      </rPr>
      <t>(f)</t>
    </r>
    <r>
      <rPr>
        <sz val="10"/>
        <color theme="0"/>
        <rFont val="Segoe UI"/>
        <family val="2"/>
      </rPr>
      <t xml:space="preserve">
</t>
    </r>
  </si>
  <si>
    <r>
      <t>Size-Performance Weight</t>
    </r>
    <r>
      <rPr>
        <i/>
        <sz val="10"/>
        <color theme="0"/>
        <rFont val="Segoe UI"/>
        <family val="2"/>
      </rPr>
      <t xml:space="preserve"> 
(a) * (1/f)</t>
    </r>
  </si>
  <si>
    <r>
      <t xml:space="preserve">Trend Factor Relative to Statewide Trend </t>
    </r>
    <r>
      <rPr>
        <i/>
        <sz val="10"/>
        <color theme="0"/>
        <rFont val="Segoe UI"/>
        <family val="2"/>
      </rPr>
      <t>(g)</t>
    </r>
    <r>
      <rPr>
        <sz val="10"/>
        <color theme="0"/>
        <rFont val="Segoe UI"/>
        <family val="2"/>
      </rPr>
      <t xml:space="preserve">
</t>
    </r>
  </si>
  <si>
    <r>
      <t>Size-Performance Weight</t>
    </r>
    <r>
      <rPr>
        <i/>
        <sz val="10"/>
        <color theme="0"/>
        <rFont val="Segoe UI"/>
        <family val="2"/>
      </rPr>
      <t xml:space="preserve"> 
(a) * (1/g)</t>
    </r>
  </si>
  <si>
    <t>PM1 - Weighted</t>
  </si>
  <si>
    <t>PM2 - Weighted</t>
  </si>
  <si>
    <t>PM3 - Weighted</t>
  </si>
  <si>
    <t>PM4 - Weighted</t>
  </si>
  <si>
    <t>PM5 - Weighted</t>
  </si>
  <si>
    <t>PM1 - Weighted * Available Assistance</t>
  </si>
  <si>
    <t>PM2 - Weighted * Available Assistance</t>
  </si>
  <si>
    <t>PM3 - Weighted * Available Assistance</t>
  </si>
  <si>
    <t>PM4 - Weighted * Available Assistance</t>
  </si>
  <si>
    <t>PM5 - Weighted * Available Assistance</t>
  </si>
  <si>
    <t>Agency Initial Operating Allocation</t>
  </si>
  <si>
    <t>Agency Operating Cost</t>
  </si>
  <si>
    <t>State Operating Assistance as % of Operating Cost</t>
  </si>
  <si>
    <t>Capped Operating Assistance</t>
  </si>
  <si>
    <t>Difference from Allocation (Distributable Funds)</t>
  </si>
  <si>
    <t>Operating Assistance - For Re-Allocation Distribution 0=reached cap</t>
  </si>
  <si>
    <t>Re-Allocation Percent Share (Excluding Capped Agencies)</t>
  </si>
  <si>
    <t>Re-Allocated Funding</t>
  </si>
  <si>
    <t xml:space="preserve">Operating Allocation - After Re-allocation Round 1 </t>
  </si>
  <si>
    <t>Allocation as a Percetages of Agency Operating Cost (Cap Check)</t>
  </si>
  <si>
    <t>Cap Check for Re-Allocation (Ensures re-allocation is not greater than cap)</t>
  </si>
  <si>
    <t>Operating Allocation - After Re-allocation Round 2</t>
  </si>
  <si>
    <t>Allocation as a Percentage of Agency Operating Cost (Cap Check)</t>
  </si>
  <si>
    <t>Cap Check for 2nd  Re-Allocation (Ensures re-allocation is not greater than cap)</t>
  </si>
  <si>
    <t>Maximimum Allocation (30% for all agencies)</t>
  </si>
  <si>
    <t>Amount Over 30%</t>
  </si>
  <si>
    <t>Final Total Operating Assistance Allocation</t>
  </si>
  <si>
    <t>Final - Allocation as a Percentage of Agency Operating Cost (Cap Check)</t>
  </si>
  <si>
    <t>Bristol</t>
  </si>
  <si>
    <t>AASC / Four County Transit</t>
  </si>
  <si>
    <t>City of Bristol Virginia</t>
  </si>
  <si>
    <t>District Three Public Transit</t>
  </si>
  <si>
    <t>Mountain Empire Older Citizens, Inc.</t>
  </si>
  <si>
    <t>Town of Bluefield-Graham Transit</t>
  </si>
  <si>
    <t>Culpeper</t>
  </si>
  <si>
    <t>Charlottesville Area Transit</t>
  </si>
  <si>
    <t>Fredericksburg</t>
  </si>
  <si>
    <t>FRED / Fredericksburg Regional Transit</t>
  </si>
  <si>
    <t>Hampton</t>
  </si>
  <si>
    <t>City of Suffolk</t>
  </si>
  <si>
    <t>Greensville County</t>
  </si>
  <si>
    <t>Hampton Roads Transit</t>
  </si>
  <si>
    <t>STAR Transit</t>
  </si>
  <si>
    <t>Town of Chincoteague</t>
  </si>
  <si>
    <t>Williamsburg Area Transit Authority</t>
  </si>
  <si>
    <t>Lynchburg</t>
  </si>
  <si>
    <t>Danville Transit System</t>
  </si>
  <si>
    <t>Farmville Area Bus</t>
  </si>
  <si>
    <t>Greater Lynchburg Transit Company</t>
  </si>
  <si>
    <t>Town of Altavista</t>
  </si>
  <si>
    <t>Northern Va</t>
  </si>
  <si>
    <t>Loudoun County</t>
  </si>
  <si>
    <t>NVTC - Arlington County</t>
  </si>
  <si>
    <t>NVTC - City of Alexandria</t>
  </si>
  <si>
    <t>NVTC - City of Fairfax</t>
  </si>
  <si>
    <t>NVTC - Fairfax County</t>
  </si>
  <si>
    <t>PRTC</t>
  </si>
  <si>
    <t>Richmond</t>
  </si>
  <si>
    <t>City of Petersburg</t>
  </si>
  <si>
    <t>Greater Richmond Transit Company</t>
  </si>
  <si>
    <t>Salem</t>
  </si>
  <si>
    <t>Blacksburg Transit</t>
  </si>
  <si>
    <t>City of Radford</t>
  </si>
  <si>
    <t>Greater Roanoke Transit Company</t>
  </si>
  <si>
    <t>Pulaski Area Transit</t>
  </si>
  <si>
    <t>Staunton</t>
  </si>
  <si>
    <t>Central Shenandoah PDC</t>
  </si>
  <si>
    <t>City of Harrisonburg Dept. of Public Transportation</t>
  </si>
  <si>
    <t>City of Winchester</t>
  </si>
  <si>
    <t>XMulti</t>
  </si>
  <si>
    <t>Bay Aging</t>
  </si>
  <si>
    <t>Blackstone Area Bus</t>
  </si>
  <si>
    <t>JAUNT</t>
  </si>
  <si>
    <t>Lake Area</t>
  </si>
  <si>
    <t>RADAR</t>
  </si>
  <si>
    <t>VRT</t>
  </si>
  <si>
    <t>Statewide Total</t>
  </si>
  <si>
    <t>FY 2023</t>
  </si>
  <si>
    <t>Agency</t>
  </si>
  <si>
    <t>Total</t>
  </si>
  <si>
    <t>Commuter Rail / State Total:</t>
  </si>
  <si>
    <t>Commuter Rail Rev Weight</t>
  </si>
  <si>
    <t>Factor Weight:</t>
  </si>
  <si>
    <t>Factor:</t>
  </si>
  <si>
    <t>Recipient</t>
  </si>
  <si>
    <t>Passenger Miles Traveled (Synthesized)</t>
  </si>
  <si>
    <t>Revenue Hours (Sizing)</t>
  </si>
  <si>
    <t>Revenue Miles (Sizing)</t>
  </si>
  <si>
    <t>-</t>
  </si>
  <si>
    <t>NVTC - VRE</t>
  </si>
  <si>
    <t>2025 Operating Cost (Sizing)</t>
  </si>
  <si>
    <t>2025 Ridership (Sizing)</t>
  </si>
  <si>
    <t>2025 Revenue Hours (Sizing)</t>
  </si>
  <si>
    <t>2025 Revenue Miles (Sizing)</t>
  </si>
  <si>
    <t>2025 Agency Data used for Size-Weight Hybrid</t>
  </si>
  <si>
    <t>FY2022, 2023, 2024, 2025 Agency Data used for Size-Weight Hybrid</t>
  </si>
  <si>
    <t>SYIP Order</t>
  </si>
  <si>
    <t>Alphabetical Order</t>
  </si>
  <si>
    <t>FY22 Ridership</t>
  </si>
  <si>
    <t>FY23 Ridership</t>
  </si>
  <si>
    <t>FY24 Ridership</t>
  </si>
  <si>
    <t>FY25 Ridership</t>
  </si>
  <si>
    <t>FY22 Revenue Hours</t>
  </si>
  <si>
    <t>FY23 Revenue Hours</t>
  </si>
  <si>
    <t>FY24 Revenue Hours</t>
  </si>
  <si>
    <t>FY25 Revenue Hours</t>
  </si>
  <si>
    <t>FY22 Revenue Miles</t>
  </si>
  <si>
    <t>FY23 Revenue Miles</t>
  </si>
  <si>
    <t>FY24 Revenue Miles</t>
  </si>
  <si>
    <t>FY25 Revenue Miles</t>
  </si>
  <si>
    <t>FY25 Op Cost Sizing</t>
  </si>
  <si>
    <t>FY22 Operating Cost Performance</t>
  </si>
  <si>
    <t>FY23 Operating Cost Performance</t>
  </si>
  <si>
    <t>FY24 Operating Cost Performance</t>
  </si>
  <si>
    <t>FY25 Operating Cost Performance</t>
  </si>
  <si>
    <t>FY27 MERIT - Operating Assistance Allocation Calculations (Operating Formula)</t>
  </si>
  <si>
    <t>% Change</t>
  </si>
  <si>
    <t>Change FY24 to FY25</t>
  </si>
  <si>
    <t>VRM: 13470; VRH: 1389; ridership: 6243</t>
  </si>
  <si>
    <t>County of Loudoun</t>
  </si>
  <si>
    <t>Fredericksburg Regional Transit</t>
  </si>
  <si>
    <t>JAUNT, Inc.</t>
  </si>
  <si>
    <t>Lake Country Area Agency on Aging</t>
  </si>
  <si>
    <t>RADAR UHSTS</t>
  </si>
  <si>
    <t>Town of Blacksburg</t>
  </si>
  <si>
    <t>Town Of Blackstone/ Blackstone Area Bus System</t>
  </si>
  <si>
    <t>Virginia Regional Transit</t>
  </si>
  <si>
    <t>Town of Bedford</t>
  </si>
  <si>
    <t>Note: This is Total Expenses for Performance</t>
  </si>
  <si>
    <t>Operating Cost Performance</t>
  </si>
  <si>
    <t>Variance Notes</t>
  </si>
  <si>
    <t>does not include rural</t>
  </si>
  <si>
    <t>County of Roanoke</t>
  </si>
  <si>
    <t>N/A - Grantee did not apply for FY2027 operating assistance.</t>
  </si>
  <si>
    <t>Not eligible for rural funding - urban only</t>
  </si>
  <si>
    <t>Allowable Transit expenses in prior years were not properly classified on the G/L for reimbursement</t>
  </si>
  <si>
    <t>Finalized in WebGrants</t>
  </si>
  <si>
    <t>Verified to wps, not Symphony</t>
  </si>
  <si>
    <t>Verified to wps, not WebGrants</t>
  </si>
  <si>
    <t>operating funds available</t>
  </si>
  <si>
    <t>This tool does not account for adjustments that may take place due to agency allocations capping at 30%</t>
  </si>
  <si>
    <t>Notes</t>
  </si>
  <si>
    <t>Revenue Miles</t>
  </si>
  <si>
    <t>Revenue Hours</t>
  </si>
  <si>
    <t>Ridership</t>
  </si>
  <si>
    <t>Operating Cost</t>
  </si>
  <si>
    <t>Off-the-Top Performance and Stability Fund</t>
  </si>
  <si>
    <t>This tool allocates 95% of the total MERIT Assistance as 5% is assumed to be set aside for perfromance and stability funding</t>
  </si>
  <si>
    <t>Column1</t>
  </si>
  <si>
    <t>3-Year Average</t>
  </si>
  <si>
    <t>s</t>
  </si>
  <si>
    <t>Change in Agency Allocation FY26-27</t>
  </si>
  <si>
    <t>Change in Ridership FY24-25</t>
  </si>
  <si>
    <t>FY2026 Allocation</t>
  </si>
  <si>
    <t>Factor 1: Change in allocation relative to overall MERIT</t>
  </si>
  <si>
    <t>Factor 2: Change in allocation relative to Service Levels (ridership as proxy)</t>
  </si>
  <si>
    <t>Amount needed to bring MERIT allocation to prior year level</t>
  </si>
  <si>
    <t>STABILITY FUND NEED</t>
  </si>
  <si>
    <t xml:space="preserve">TOTAL </t>
  </si>
  <si>
    <t>MERIT OPERATING ASSISTANCE SIZING ALLOCATION CALCULATOR</t>
  </si>
  <si>
    <t>Rural Agencies</t>
  </si>
  <si>
    <t>VIRGINIA DEPARTMENT OF RAIL AND PUBLIC TRANSPORTATION</t>
  </si>
  <si>
    <t>Large Urban Agencies</t>
  </si>
  <si>
    <t>Small Urban Agencies</t>
  </si>
  <si>
    <t>Capped Funding</t>
  </si>
  <si>
    <t xml:space="preserve">Summary Assumptions </t>
  </si>
  <si>
    <t>Total Available Assistance Assumption</t>
  </si>
  <si>
    <t>Designation</t>
  </si>
  <si>
    <t>Rural</t>
  </si>
  <si>
    <t>Small Urban</t>
  </si>
  <si>
    <t>Large Urban</t>
  </si>
  <si>
    <t>DRAFT - FOR ILLUSTRATIVE PURPOSES ONLY</t>
  </si>
  <si>
    <t>This tool is set up to test the imapct of different sizing weights on allocation share within cohorts. It does not represent actual MERIT allocations.</t>
  </si>
  <si>
    <t>Share of Total</t>
  </si>
  <si>
    <t>Performance and Stability Fund Revenues</t>
  </si>
  <si>
    <t>Available Assistance</t>
  </si>
  <si>
    <t>COHORT ALLOCATIONS</t>
  </si>
  <si>
    <t>RECIPIENT DESIGNATIONS</t>
  </si>
  <si>
    <t xml:space="preserve"> Projected Sizing/Base Allocation </t>
  </si>
  <si>
    <t>LIVE SCENARIO SIZE WEIGHTS</t>
  </si>
  <si>
    <t xml:space="preserve"> Sizing/Base Allocation</t>
  </si>
  <si>
    <t>Share of Total Cohort Base Revenue</t>
  </si>
  <si>
    <t>Share of Total Cohort Sizing/Base Revenue</t>
  </si>
  <si>
    <t>INPUT DATA</t>
  </si>
  <si>
    <t>FY 2023-25 Avg Operating Cost</t>
  </si>
  <si>
    <t>FY 2023-25 Avg  Ridership</t>
  </si>
  <si>
    <t>FY 2023-25 Avg  Revenue Hours</t>
  </si>
  <si>
    <t xml:space="preserve">FY 2023-25 Avg  Revenue Miles </t>
  </si>
  <si>
    <t>CURRENT FORMULA SIZE WEIGHTS</t>
  </si>
  <si>
    <t>2025 Operating Cost (For 30% Cap)</t>
  </si>
  <si>
    <t>Recpient</t>
  </si>
  <si>
    <t>MERIT - OPERATING ASSISTANCE SIZING ALLOCATION CALCULATOR</t>
  </si>
  <si>
    <t>Change % Weights for Each Sizing Metric to See Impact 
⬇                    Ensure Total Equals 100%                    ⬇</t>
  </si>
  <si>
    <t>Total:</t>
  </si>
  <si>
    <t>Sizing Metrics Hybrid Weight - Current Formula</t>
  </si>
  <si>
    <t>Sizing Metrics Hybrid Weight - Live Scenario</t>
  </si>
  <si>
    <t>Modify Weights until cell above is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</si>
</sst>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_);\(#,##0\);&quot;-  &quot;;&quot; &quot;@"/>
    <numFmt numFmtId="167" formatCode="_(* #,##0.0000_);_(* \(#,##0.0000\);_(* &quot;-&quot;????_);_(@_)"/>
    <numFmt numFmtId="168" formatCode="_(* #,##0.00000_);_(* \(#,##0.00000\);_(* &quot;-&quot;??_);_(@_)"/>
    <numFmt numFmtId="169" formatCode="0.0000"/>
    <numFmt numFmtId="170" formatCode="_(* #,##0.0000_);_(* \(#,##0.0000\);_(* &quot;-&quot;??_);_(@_)"/>
    <numFmt numFmtId="171" formatCode="0.0000%"/>
  </numFmts>
  <fonts count="1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Arial MT"/>
    </font>
    <font>
      <sz val="12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Segoe UI"/>
      <family val="2"/>
    </font>
    <font>
      <sz val="10"/>
      <color indexed="12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 tint="0.499984740745262"/>
      <name val="Segoe UI"/>
      <family val="2"/>
    </font>
    <font>
      <sz val="10"/>
      <color theme="0"/>
      <name val="Segoe UI"/>
      <family val="2"/>
    </font>
    <font>
      <b/>
      <i/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indexed="12"/>
      <name val="Segoe UI"/>
      <family val="2"/>
    </font>
    <font>
      <i/>
      <sz val="10"/>
      <color theme="0"/>
      <name val="Segoe UI"/>
      <family val="2"/>
    </font>
    <font>
      <sz val="10"/>
      <color theme="0" tint="-0.34998626667073579"/>
      <name val="Segoe UI"/>
      <family val="2"/>
    </font>
    <font>
      <sz val="10"/>
      <color theme="3"/>
      <name val="Segoe UI"/>
      <family val="2"/>
    </font>
    <font>
      <b/>
      <sz val="10"/>
      <color rgb="FFC00000"/>
      <name val="Segoe UI"/>
      <family val="2"/>
    </font>
    <font>
      <sz val="10"/>
      <name val="Arial"/>
      <family val="2"/>
    </font>
    <font>
      <sz val="10"/>
      <color theme="1" tint="0.14999847407452621"/>
      <name val="Segoe UI"/>
      <family val="2"/>
    </font>
    <font>
      <b/>
      <sz val="10"/>
      <color theme="1" tint="0.499984740745262"/>
      <name val="Segoe UI"/>
      <family val="2"/>
    </font>
    <font>
      <b/>
      <sz val="10"/>
      <color theme="1" tint="0.14999847407452621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sz val="11"/>
      <name val="Segoe UI"/>
      <family val="2"/>
    </font>
    <font>
      <sz val="11"/>
      <color indexed="12"/>
      <name val="Segoe UI"/>
      <family val="2"/>
    </font>
    <font>
      <b/>
      <sz val="11"/>
      <color theme="1"/>
      <name val="Segoe UI"/>
      <family val="2"/>
    </font>
    <font>
      <sz val="11"/>
      <color theme="1" tint="0.499984740745262"/>
      <name val="Segoe UI"/>
      <family val="2"/>
    </font>
    <font>
      <b/>
      <sz val="10"/>
      <color theme="5"/>
      <name val="Segoe UI"/>
      <family val="2"/>
    </font>
    <font>
      <b/>
      <sz val="14"/>
      <name val="Segoe UI"/>
      <family val="2"/>
    </font>
    <font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sz val="10"/>
      <color theme="0" tint="-0.499984740745262"/>
      <name val="Segoe U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theme="0" tint="-0.499984740745262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b/>
      <sz val="10"/>
      <color theme="3"/>
      <name val="Segoe UI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theme="1" tint="0.499984740745262"/>
      <name val="Arial"/>
      <family val="2"/>
    </font>
    <font>
      <b/>
      <i/>
      <sz val="10"/>
      <name val="Segoe UI"/>
      <family val="2"/>
    </font>
    <font>
      <sz val="10"/>
      <color rgb="FFFF0000"/>
      <name val="Segoe UI"/>
      <family val="2"/>
    </font>
    <font>
      <b/>
      <sz val="10"/>
      <color theme="9" tint="-0.249977111117893"/>
      <name val="Segoe UI"/>
      <family val="2"/>
    </font>
    <font>
      <b/>
      <i/>
      <u/>
      <sz val="10"/>
      <name val="Segoe UI"/>
      <family val="2"/>
    </font>
    <font>
      <i/>
      <sz val="10"/>
      <name val="Segoe UI"/>
      <family val="2"/>
    </font>
    <font>
      <b/>
      <sz val="12"/>
      <color theme="5"/>
      <name val="Segoe UI"/>
      <family val="2"/>
    </font>
    <font>
      <b/>
      <sz val="11"/>
      <color theme="0"/>
      <name val="Segoe UI"/>
      <family val="2"/>
    </font>
    <font>
      <b/>
      <sz val="11"/>
      <color theme="5"/>
      <name val="Segoe UI"/>
      <family val="2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 tint="-0.24994659260841701"/>
      </top>
      <bottom style="medium">
        <color theme="0"/>
      </bottom>
      <diagonal/>
    </border>
    <border>
      <left/>
      <right style="medium">
        <color theme="0"/>
      </right>
      <top style="medium">
        <color theme="0" tint="-0.24994659260841701"/>
      </top>
      <bottom style="medium">
        <color theme="0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 tint="-0.499984740745262"/>
      </bottom>
      <diagonal/>
    </border>
    <border>
      <left style="thin">
        <color theme="0"/>
      </left>
      <right/>
      <top style="medium">
        <color theme="0"/>
      </top>
      <bottom style="medium">
        <color theme="0" tint="-0.499984740745262"/>
      </bottom>
      <diagonal/>
    </border>
    <border>
      <left/>
      <right style="thin">
        <color theme="0"/>
      </right>
      <top style="medium">
        <color theme="0"/>
      </top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24994659260841701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/>
      <bottom style="medium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77111117893"/>
      </top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/>
      </left>
      <right/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0" tint="-0.249977111117893"/>
      </bottom>
      <diagonal/>
    </border>
    <border>
      <left/>
      <right style="thin">
        <color theme="0"/>
      </right>
      <top/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medium">
        <color theme="0" tint="-0.249977111117893"/>
      </bottom>
      <diagonal/>
    </border>
    <border>
      <left style="thin">
        <color theme="0"/>
      </left>
      <right/>
      <top/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medium">
        <color theme="0" tint="-0.249977111117893"/>
      </bottom>
      <diagonal/>
    </border>
  </borders>
  <cellStyleXfs count="448">
    <xf numFmtId="0" fontId="0" fillId="0" borderId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53" fillId="0" borderId="0"/>
    <xf numFmtId="0" fontId="39" fillId="23" borderId="7" applyNumberFormat="0" applyFont="0" applyAlignment="0" applyProtection="0"/>
    <xf numFmtId="0" fontId="54" fillId="20" borderId="8" applyNumberFormat="0" applyAlignment="0" applyProtection="0"/>
    <xf numFmtId="0" fontId="55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57" fillId="0" borderId="0" applyNumberForma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7" fillId="0" borderId="0"/>
    <xf numFmtId="0" fontId="36" fillId="0" borderId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5" fillId="0" borderId="0"/>
    <xf numFmtId="44" fontId="35" fillId="0" borderId="0" applyFont="0" applyFill="0" applyBorder="0" applyAlignment="0" applyProtection="0"/>
    <xf numFmtId="0" fontId="39" fillId="0" borderId="0"/>
    <xf numFmtId="0" fontId="62" fillId="0" borderId="0"/>
    <xf numFmtId="43" fontId="6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4" fillId="0" borderId="0"/>
    <xf numFmtId="43" fontId="39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/>
    <xf numFmtId="0" fontId="39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43" fontId="30" fillId="0" borderId="0" applyFont="0" applyFill="0" applyBorder="0" applyAlignment="0" applyProtection="0"/>
    <xf numFmtId="0" fontId="30" fillId="0" borderId="0"/>
    <xf numFmtId="43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62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62" fillId="0" borderId="0" applyFont="0" applyFill="0" applyBorder="0" applyAlignment="0" applyProtection="0"/>
    <xf numFmtId="44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0" fillId="0" borderId="0"/>
    <xf numFmtId="9" fontId="3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9" fillId="0" borderId="0"/>
    <xf numFmtId="0" fontId="43" fillId="20" borderId="11" applyNumberFormat="0" applyAlignment="0" applyProtection="0"/>
    <xf numFmtId="0" fontId="50" fillId="7" borderId="11" applyNumberFormat="0" applyAlignment="0" applyProtection="0"/>
    <xf numFmtId="0" fontId="39" fillId="23" borderId="12" applyNumberFormat="0" applyFont="0" applyAlignment="0" applyProtection="0"/>
    <xf numFmtId="0" fontId="54" fillId="20" borderId="13" applyNumberFormat="0" applyAlignment="0" applyProtection="0"/>
    <xf numFmtId="0" fontId="56" fillId="0" borderId="14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64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4" fontId="39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43" fillId="20" borderId="15" applyNumberFormat="0" applyAlignment="0" applyProtection="0"/>
    <xf numFmtId="0" fontId="50" fillId="7" borderId="15" applyNumberFormat="0" applyAlignment="0" applyProtection="0"/>
    <xf numFmtId="0" fontId="39" fillId="23" borderId="16" applyNumberFormat="0" applyFont="0" applyAlignment="0" applyProtection="0"/>
    <xf numFmtId="0" fontId="54" fillId="20" borderId="17" applyNumberFormat="0" applyAlignment="0" applyProtection="0"/>
    <xf numFmtId="0" fontId="56" fillId="0" borderId="18" applyNumberFormat="0" applyFill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5" fillId="0" borderId="0"/>
    <xf numFmtId="43" fontId="66" fillId="0" borderId="0" applyFont="0" applyFill="0" applyBorder="0" applyAlignment="0" applyProtection="0"/>
    <xf numFmtId="44" fontId="66" fillId="0" borderId="0" applyFont="0" applyFill="0" applyBorder="0" applyAlignment="0" applyProtection="0"/>
    <xf numFmtId="0" fontId="67" fillId="0" borderId="0"/>
    <xf numFmtId="43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9" applyNumberFormat="0" applyAlignment="0" applyProtection="0"/>
    <xf numFmtId="0" fontId="44" fillId="21" borderId="2" applyNumberFormat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50" fillId="7" borderId="19" applyNumberFormat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39" fillId="23" borderId="7" applyNumberFormat="0" applyFont="0" applyAlignment="0" applyProtection="0"/>
    <xf numFmtId="0" fontId="54" fillId="20" borderId="20" applyNumberFormat="0" applyAlignment="0" applyProtection="0"/>
    <xf numFmtId="0" fontId="5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7" fillId="0" borderId="0" applyNumberForma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56" fillId="0" borderId="21" applyNumberFormat="0" applyFill="0" applyAlignment="0" applyProtection="0"/>
    <xf numFmtId="0" fontId="54" fillId="20" borderId="20" applyNumberFormat="0" applyAlignment="0" applyProtection="0"/>
    <xf numFmtId="0" fontId="50" fillId="7" borderId="19" applyNumberFormat="0" applyAlignment="0" applyProtection="0"/>
    <xf numFmtId="0" fontId="43" fillId="20" borderId="19" applyNumberFormat="0" applyAlignment="0" applyProtection="0"/>
    <xf numFmtId="0" fontId="39" fillId="0" borderId="0"/>
    <xf numFmtId="0" fontId="43" fillId="20" borderId="15" applyNumberFormat="0" applyAlignment="0" applyProtection="0"/>
    <xf numFmtId="0" fontId="50" fillId="7" borderId="15" applyNumberFormat="0" applyAlignment="0" applyProtection="0"/>
    <xf numFmtId="0" fontId="54" fillId="20" borderId="17" applyNumberFormat="0" applyAlignment="0" applyProtection="0"/>
    <xf numFmtId="0" fontId="56" fillId="0" borderId="18" applyNumberFormat="0" applyFill="0" applyAlignment="0" applyProtection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43" fillId="20" borderId="15" applyNumberFormat="0" applyAlignment="0" applyProtection="0"/>
    <xf numFmtId="0" fontId="43" fillId="20" borderId="15" applyNumberFormat="0" applyAlignment="0" applyProtection="0"/>
    <xf numFmtId="0" fontId="43" fillId="20" borderId="15" applyNumberFormat="0" applyAlignment="0" applyProtection="0"/>
    <xf numFmtId="0" fontId="43" fillId="20" borderId="15" applyNumberFormat="0" applyAlignment="0" applyProtection="0"/>
    <xf numFmtId="0" fontId="43" fillId="20" borderId="15" applyNumberFormat="0" applyAlignment="0" applyProtection="0"/>
    <xf numFmtId="0" fontId="43" fillId="20" borderId="15" applyNumberFormat="0" applyAlignment="0" applyProtection="0"/>
    <xf numFmtId="0" fontId="43" fillId="20" borderId="15" applyNumberFormat="0" applyAlignment="0" applyProtection="0"/>
    <xf numFmtId="0" fontId="43" fillId="20" borderId="15" applyNumberFormat="0" applyAlignment="0" applyProtection="0"/>
    <xf numFmtId="0" fontId="43" fillId="20" borderId="15" applyNumberFormat="0" applyAlignment="0" applyProtection="0"/>
    <xf numFmtId="0" fontId="43" fillId="20" borderId="15" applyNumberFormat="0" applyAlignment="0" applyProtection="0"/>
    <xf numFmtId="0" fontId="43" fillId="20" borderId="1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50" fillId="7" borderId="15" applyNumberFormat="0" applyAlignment="0" applyProtection="0"/>
    <xf numFmtId="0" fontId="50" fillId="7" borderId="15" applyNumberFormat="0" applyAlignment="0" applyProtection="0"/>
    <xf numFmtId="0" fontId="50" fillId="7" borderId="15" applyNumberFormat="0" applyAlignment="0" applyProtection="0"/>
    <xf numFmtId="0" fontId="50" fillId="7" borderId="15" applyNumberFormat="0" applyAlignment="0" applyProtection="0"/>
    <xf numFmtId="0" fontId="50" fillId="7" borderId="15" applyNumberFormat="0" applyAlignment="0" applyProtection="0"/>
    <xf numFmtId="0" fontId="50" fillId="7" borderId="15" applyNumberFormat="0" applyAlignment="0" applyProtection="0"/>
    <xf numFmtId="0" fontId="50" fillId="7" borderId="15" applyNumberFormat="0" applyAlignment="0" applyProtection="0"/>
    <xf numFmtId="0" fontId="50" fillId="7" borderId="15" applyNumberFormat="0" applyAlignment="0" applyProtection="0"/>
    <xf numFmtId="0" fontId="50" fillId="7" borderId="15" applyNumberFormat="0" applyAlignment="0" applyProtection="0"/>
    <xf numFmtId="0" fontId="50" fillId="7" borderId="15" applyNumberFormat="0" applyAlignment="0" applyProtection="0"/>
    <xf numFmtId="0" fontId="50" fillId="7" borderId="15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23" borderId="16" applyNumberFormat="0" applyFont="0" applyAlignment="0" applyProtection="0"/>
    <xf numFmtId="0" fontId="39" fillId="23" borderId="16" applyNumberFormat="0" applyFont="0" applyAlignment="0" applyProtection="0"/>
    <xf numFmtId="0" fontId="39" fillId="23" borderId="16" applyNumberFormat="0" applyFont="0" applyAlignment="0" applyProtection="0"/>
    <xf numFmtId="0" fontId="39" fillId="23" borderId="16" applyNumberFormat="0" applyFont="0" applyAlignment="0" applyProtection="0"/>
    <xf numFmtId="0" fontId="39" fillId="23" borderId="16" applyNumberFormat="0" applyFont="0" applyAlignment="0" applyProtection="0"/>
    <xf numFmtId="0" fontId="39" fillId="23" borderId="16" applyNumberFormat="0" applyFont="0" applyAlignment="0" applyProtection="0"/>
    <xf numFmtId="0" fontId="39" fillId="23" borderId="16" applyNumberFormat="0" applyFont="0" applyAlignment="0" applyProtection="0"/>
    <xf numFmtId="0" fontId="39" fillId="23" borderId="16" applyNumberFormat="0" applyFont="0" applyAlignment="0" applyProtection="0"/>
    <xf numFmtId="0" fontId="39" fillId="23" borderId="16" applyNumberFormat="0" applyFont="0" applyAlignment="0" applyProtection="0"/>
    <xf numFmtId="0" fontId="39" fillId="23" borderId="16" applyNumberFormat="0" applyFont="0" applyAlignment="0" applyProtection="0"/>
    <xf numFmtId="0" fontId="39" fillId="23" borderId="16" applyNumberFormat="0" applyFont="0" applyAlignment="0" applyProtection="0"/>
    <xf numFmtId="0" fontId="39" fillId="23" borderId="16" applyNumberFormat="0" applyFont="0" applyAlignment="0" applyProtection="0"/>
    <xf numFmtId="0" fontId="54" fillId="20" borderId="17" applyNumberFormat="0" applyAlignment="0" applyProtection="0"/>
    <xf numFmtId="0" fontId="54" fillId="20" borderId="17" applyNumberFormat="0" applyAlignment="0" applyProtection="0"/>
    <xf numFmtId="0" fontId="54" fillId="20" borderId="17" applyNumberFormat="0" applyAlignment="0" applyProtection="0"/>
    <xf numFmtId="0" fontId="54" fillId="20" borderId="17" applyNumberFormat="0" applyAlignment="0" applyProtection="0"/>
    <xf numFmtId="0" fontId="54" fillId="20" borderId="17" applyNumberFormat="0" applyAlignment="0" applyProtection="0"/>
    <xf numFmtId="0" fontId="54" fillId="20" borderId="17" applyNumberFormat="0" applyAlignment="0" applyProtection="0"/>
    <xf numFmtId="0" fontId="54" fillId="20" borderId="17" applyNumberFormat="0" applyAlignment="0" applyProtection="0"/>
    <xf numFmtId="0" fontId="54" fillId="20" borderId="17" applyNumberFormat="0" applyAlignment="0" applyProtection="0"/>
    <xf numFmtId="0" fontId="54" fillId="20" borderId="17" applyNumberFormat="0" applyAlignment="0" applyProtection="0"/>
    <xf numFmtId="0" fontId="54" fillId="20" borderId="17" applyNumberFormat="0" applyAlignment="0" applyProtection="0"/>
    <xf numFmtId="0" fontId="54" fillId="20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26" borderId="0" applyAlignment="0" applyProtection="0">
      <alignment horizontal="center"/>
    </xf>
    <xf numFmtId="0" fontId="59" fillId="26" borderId="0" applyAlignment="0" applyProtection="0">
      <alignment horizontal="center"/>
    </xf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39" fillId="0" borderId="0"/>
    <xf numFmtId="0" fontId="49" fillId="0" borderId="5" applyNumberFormat="0" applyFill="0" applyAlignment="0" applyProtection="0"/>
    <xf numFmtId="0" fontId="39" fillId="23" borderId="22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65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3" fillId="20" borderId="26" applyNumberFormat="0" applyAlignment="0" applyProtection="0"/>
    <xf numFmtId="0" fontId="50" fillId="7" borderId="26" applyNumberFormat="0" applyAlignment="0" applyProtection="0"/>
    <xf numFmtId="0" fontId="39" fillId="23" borderId="27" applyNumberFormat="0" applyFont="0" applyAlignment="0" applyProtection="0"/>
    <xf numFmtId="0" fontId="54" fillId="20" borderId="28" applyNumberFormat="0" applyAlignment="0" applyProtection="0"/>
    <xf numFmtId="0" fontId="56" fillId="0" borderId="29" applyNumberFormat="0" applyFill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2" fillId="0" borderId="0" applyFont="0" applyFill="0" applyBorder="0" applyAlignment="0" applyProtection="0"/>
    <xf numFmtId="44" fontId="9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499">
    <xf numFmtId="0" fontId="0" fillId="0" borderId="0" xfId="0"/>
    <xf numFmtId="0" fontId="71" fillId="0" borderId="0" xfId="433" applyFont="1"/>
    <xf numFmtId="168" fontId="71" fillId="0" borderId="0" xfId="76" applyNumberFormat="1" applyFont="1"/>
    <xf numFmtId="0" fontId="68" fillId="0" borderId="0" xfId="433" applyFont="1"/>
    <xf numFmtId="0" fontId="69" fillId="0" borderId="0" xfId="433" applyFont="1"/>
    <xf numFmtId="6" fontId="71" fillId="0" borderId="0" xfId="433" applyNumberFormat="1" applyFont="1"/>
    <xf numFmtId="0" fontId="71" fillId="0" borderId="0" xfId="433" applyFont="1" applyAlignment="1">
      <alignment horizontal="left"/>
    </xf>
    <xf numFmtId="0" fontId="70" fillId="0" borderId="0" xfId="433" applyFont="1" applyAlignment="1">
      <alignment horizontal="right"/>
    </xf>
    <xf numFmtId="43" fontId="69" fillId="0" borderId="0" xfId="76" applyFont="1" applyFill="1" applyBorder="1"/>
    <xf numFmtId="168" fontId="71" fillId="0" borderId="0" xfId="76" applyNumberFormat="1" applyFont="1" applyFill="1" applyBorder="1" applyAlignment="1">
      <alignment horizontal="left"/>
    </xf>
    <xf numFmtId="9" fontId="71" fillId="0" borderId="0" xfId="433" applyNumberFormat="1" applyFont="1"/>
    <xf numFmtId="2" fontId="71" fillId="0" borderId="0" xfId="433" applyNumberFormat="1" applyFont="1"/>
    <xf numFmtId="9" fontId="70" fillId="0" borderId="0" xfId="434" applyFont="1" applyFill="1" applyBorder="1" applyAlignment="1">
      <alignment horizontal="right"/>
    </xf>
    <xf numFmtId="0" fontId="74" fillId="0" borderId="0" xfId="433" applyFont="1" applyAlignment="1">
      <alignment vertical="top"/>
    </xf>
    <xf numFmtId="0" fontId="75" fillId="0" borderId="0" xfId="433" applyFont="1" applyAlignment="1">
      <alignment horizontal="left"/>
    </xf>
    <xf numFmtId="6" fontId="68" fillId="0" borderId="0" xfId="433" applyNumberFormat="1" applyFont="1" applyAlignment="1">
      <alignment vertical="top"/>
    </xf>
    <xf numFmtId="0" fontId="69" fillId="0" borderId="0" xfId="433" applyFont="1" applyAlignment="1">
      <alignment vertical="top"/>
    </xf>
    <xf numFmtId="0" fontId="68" fillId="0" borderId="0" xfId="433" applyFont="1" applyAlignment="1">
      <alignment vertical="top"/>
    </xf>
    <xf numFmtId="0" fontId="70" fillId="0" borderId="0" xfId="433" applyFont="1"/>
    <xf numFmtId="0" fontId="68" fillId="0" borderId="0" xfId="431" applyFont="1"/>
    <xf numFmtId="6" fontId="68" fillId="0" borderId="0" xfId="431" applyNumberFormat="1" applyFont="1" applyAlignment="1">
      <alignment horizontal="right"/>
    </xf>
    <xf numFmtId="165" fontId="68" fillId="0" borderId="0" xfId="432" applyNumberFormat="1" applyFont="1" applyFill="1" applyAlignment="1">
      <alignment horizontal="right"/>
    </xf>
    <xf numFmtId="0" fontId="68" fillId="0" borderId="0" xfId="431" applyFont="1" applyAlignment="1">
      <alignment horizontal="right"/>
    </xf>
    <xf numFmtId="0" fontId="71" fillId="0" borderId="0" xfId="431" applyFont="1"/>
    <xf numFmtId="0" fontId="71" fillId="0" borderId="0" xfId="431" applyFont="1" applyAlignment="1">
      <alignment horizontal="right"/>
    </xf>
    <xf numFmtId="6" fontId="71" fillId="0" borderId="0" xfId="431" applyNumberFormat="1" applyFont="1" applyAlignment="1">
      <alignment horizontal="right"/>
    </xf>
    <xf numFmtId="0" fontId="72" fillId="0" borderId="0" xfId="431" applyFont="1" applyAlignment="1">
      <alignment horizontal="center"/>
    </xf>
    <xf numFmtId="165" fontId="70" fillId="0" borderId="0" xfId="72" applyNumberFormat="1" applyFont="1" applyFill="1" applyBorder="1" applyAlignment="1">
      <alignment horizontal="left"/>
    </xf>
    <xf numFmtId="0" fontId="76" fillId="32" borderId="40" xfId="433" applyFont="1" applyFill="1" applyBorder="1" applyAlignment="1">
      <alignment horizontal="centerContinuous" vertical="top"/>
    </xf>
    <xf numFmtId="0" fontId="76" fillId="32" borderId="35" xfId="433" applyFont="1" applyFill="1" applyBorder="1" applyAlignment="1">
      <alignment horizontal="centerContinuous" vertical="top"/>
    </xf>
    <xf numFmtId="0" fontId="76" fillId="32" borderId="36" xfId="433" applyFont="1" applyFill="1" applyBorder="1" applyAlignment="1">
      <alignment horizontal="centerContinuous" vertical="top"/>
    </xf>
    <xf numFmtId="0" fontId="74" fillId="32" borderId="37" xfId="433" applyFont="1" applyFill="1" applyBorder="1" applyAlignment="1">
      <alignment horizontal="centerContinuous" vertical="top"/>
    </xf>
    <xf numFmtId="0" fontId="76" fillId="32" borderId="41" xfId="433" applyFont="1" applyFill="1" applyBorder="1" applyAlignment="1">
      <alignment horizontal="center" vertical="top" wrapText="1"/>
    </xf>
    <xf numFmtId="0" fontId="76" fillId="33" borderId="41" xfId="433" applyFont="1" applyFill="1" applyBorder="1" applyAlignment="1">
      <alignment horizontal="center" vertical="top" wrapText="1"/>
    </xf>
    <xf numFmtId="0" fontId="76" fillId="34" borderId="41" xfId="433" applyFont="1" applyFill="1" applyBorder="1" applyAlignment="1">
      <alignment horizontal="center" vertical="top" wrapText="1"/>
    </xf>
    <xf numFmtId="0" fontId="76" fillId="34" borderId="42" xfId="433" applyFont="1" applyFill="1" applyBorder="1" applyAlignment="1">
      <alignment horizontal="center" vertical="top" wrapText="1"/>
    </xf>
    <xf numFmtId="0" fontId="79" fillId="0" borderId="0" xfId="433" applyFont="1" applyAlignment="1">
      <alignment vertical="top"/>
    </xf>
    <xf numFmtId="6" fontId="79" fillId="0" borderId="0" xfId="433" applyNumberFormat="1" applyFont="1" applyAlignment="1">
      <alignment vertical="top"/>
    </xf>
    <xf numFmtId="0" fontId="70" fillId="35" borderId="41" xfId="433" applyFont="1" applyFill="1" applyBorder="1" applyAlignment="1">
      <alignment horizontal="center" vertical="top" wrapText="1"/>
    </xf>
    <xf numFmtId="0" fontId="76" fillId="38" borderId="35" xfId="433" applyFont="1" applyFill="1" applyBorder="1" applyAlignment="1">
      <alignment horizontal="centerContinuous" vertical="top"/>
    </xf>
    <xf numFmtId="0" fontId="74" fillId="38" borderId="35" xfId="433" applyFont="1" applyFill="1" applyBorder="1" applyAlignment="1">
      <alignment horizontal="centerContinuous" vertical="top"/>
    </xf>
    <xf numFmtId="0" fontId="74" fillId="38" borderId="39" xfId="433" applyFont="1" applyFill="1" applyBorder="1" applyAlignment="1">
      <alignment horizontal="centerContinuous" vertical="top"/>
    </xf>
    <xf numFmtId="8" fontId="71" fillId="0" borderId="0" xfId="433" applyNumberFormat="1" applyFont="1"/>
    <xf numFmtId="171" fontId="73" fillId="0" borderId="0" xfId="433" applyNumberFormat="1" applyFont="1"/>
    <xf numFmtId="171" fontId="73" fillId="0" borderId="0" xfId="433" applyNumberFormat="1" applyFont="1" applyAlignment="1">
      <alignment horizontal="center" vertical="top"/>
    </xf>
    <xf numFmtId="171" fontId="73" fillId="0" borderId="0" xfId="433" applyNumberFormat="1" applyFont="1" applyAlignment="1">
      <alignment horizontal="center"/>
    </xf>
    <xf numFmtId="0" fontId="76" fillId="36" borderId="41" xfId="433" applyFont="1" applyFill="1" applyBorder="1" applyAlignment="1">
      <alignment horizontal="center" vertical="top" wrapText="1"/>
    </xf>
    <xf numFmtId="0" fontId="76" fillId="0" borderId="0" xfId="433" applyFont="1" applyAlignment="1">
      <alignment vertical="center"/>
    </xf>
    <xf numFmtId="0" fontId="76" fillId="36" borderId="58" xfId="433" applyFont="1" applyFill="1" applyBorder="1" applyAlignment="1">
      <alignment horizontal="center" vertical="top" wrapText="1"/>
    </xf>
    <xf numFmtId="0" fontId="76" fillId="36" borderId="50" xfId="433" applyFont="1" applyFill="1" applyBorder="1" applyAlignment="1">
      <alignment horizontal="center" vertical="top" wrapText="1"/>
    </xf>
    <xf numFmtId="0" fontId="70" fillId="35" borderId="58" xfId="433" applyFont="1" applyFill="1" applyBorder="1" applyAlignment="1">
      <alignment horizontal="center" vertical="top" wrapText="1"/>
    </xf>
    <xf numFmtId="0" fontId="70" fillId="35" borderId="50" xfId="433" applyFont="1" applyFill="1" applyBorder="1" applyAlignment="1">
      <alignment horizontal="center" vertical="top" wrapText="1"/>
    </xf>
    <xf numFmtId="44" fontId="69" fillId="0" borderId="59" xfId="436" applyFont="1" applyFill="1" applyBorder="1"/>
    <xf numFmtId="0" fontId="76" fillId="34" borderId="58" xfId="433" applyFont="1" applyFill="1" applyBorder="1" applyAlignment="1">
      <alignment horizontal="center" vertical="top" wrapText="1"/>
    </xf>
    <xf numFmtId="0" fontId="76" fillId="34" borderId="50" xfId="433" applyFont="1" applyFill="1" applyBorder="1" applyAlignment="1">
      <alignment horizontal="center" vertical="top" wrapText="1"/>
    </xf>
    <xf numFmtId="0" fontId="76" fillId="33" borderId="58" xfId="433" applyFont="1" applyFill="1" applyBorder="1" applyAlignment="1">
      <alignment horizontal="center" vertical="top" wrapText="1"/>
    </xf>
    <xf numFmtId="0" fontId="76" fillId="33" borderId="50" xfId="433" applyFont="1" applyFill="1" applyBorder="1" applyAlignment="1">
      <alignment horizontal="center" vertical="top" wrapText="1"/>
    </xf>
    <xf numFmtId="0" fontId="76" fillId="32" borderId="58" xfId="433" applyFont="1" applyFill="1" applyBorder="1" applyAlignment="1">
      <alignment horizontal="center" vertical="top" wrapText="1"/>
    </xf>
    <xf numFmtId="0" fontId="76" fillId="32" borderId="50" xfId="433" applyFont="1" applyFill="1" applyBorder="1" applyAlignment="1">
      <alignment horizontal="center" vertical="top" wrapText="1"/>
    </xf>
    <xf numFmtId="0" fontId="76" fillId="32" borderId="62" xfId="433" applyFont="1" applyFill="1" applyBorder="1" applyAlignment="1">
      <alignment horizontal="centerContinuous" vertical="top"/>
    </xf>
    <xf numFmtId="0" fontId="74" fillId="32" borderId="62" xfId="433" applyFont="1" applyFill="1" applyBorder="1" applyAlignment="1">
      <alignment horizontal="centerContinuous" vertical="top"/>
    </xf>
    <xf numFmtId="0" fontId="74" fillId="32" borderId="53" xfId="433" applyFont="1" applyFill="1" applyBorder="1" applyAlignment="1">
      <alignment horizontal="center" vertical="top" wrapText="1"/>
    </xf>
    <xf numFmtId="0" fontId="74" fillId="32" borderId="52" xfId="433" applyFont="1" applyFill="1" applyBorder="1" applyAlignment="1">
      <alignment horizontal="center" vertical="top" wrapText="1"/>
    </xf>
    <xf numFmtId="0" fontId="74" fillId="32" borderId="23" xfId="433" applyFont="1" applyFill="1" applyBorder="1" applyAlignment="1">
      <alignment horizontal="center" vertical="top" wrapText="1"/>
    </xf>
    <xf numFmtId="168" fontId="74" fillId="38" borderId="35" xfId="76" applyNumberFormat="1" applyFont="1" applyFill="1" applyBorder="1" applyAlignment="1">
      <alignment horizontal="centerContinuous" vertical="top"/>
    </xf>
    <xf numFmtId="9" fontId="76" fillId="38" borderId="62" xfId="434" applyFont="1" applyFill="1" applyBorder="1" applyAlignment="1">
      <alignment horizontal="center" vertical="top"/>
    </xf>
    <xf numFmtId="0" fontId="76" fillId="38" borderId="62" xfId="433" applyFont="1" applyFill="1" applyBorder="1" applyAlignment="1">
      <alignment horizontal="centerContinuous" vertical="top"/>
    </xf>
    <xf numFmtId="0" fontId="74" fillId="38" borderId="59" xfId="433" applyFont="1" applyFill="1" applyBorder="1" applyAlignment="1">
      <alignment horizontal="center" vertical="top" wrapText="1"/>
    </xf>
    <xf numFmtId="168" fontId="74" fillId="38" borderId="23" xfId="76" applyNumberFormat="1" applyFont="1" applyFill="1" applyBorder="1" applyAlignment="1">
      <alignment horizontal="center" vertical="top" wrapText="1"/>
    </xf>
    <xf numFmtId="0" fontId="68" fillId="0" borderId="57" xfId="433" applyFont="1" applyBorder="1" applyAlignment="1">
      <alignment horizontal="left"/>
    </xf>
    <xf numFmtId="164" fontId="69" fillId="0" borderId="59" xfId="436" applyNumberFormat="1" applyFont="1" applyBorder="1"/>
    <xf numFmtId="0" fontId="68" fillId="0" borderId="59" xfId="433" applyFont="1" applyBorder="1" applyAlignment="1">
      <alignment horizontal="left"/>
    </xf>
    <xf numFmtId="10" fontId="69" fillId="0" borderId="0" xfId="74" applyNumberFormat="1" applyFont="1" applyFill="1" applyBorder="1" applyAlignment="1">
      <alignment horizontal="center"/>
    </xf>
    <xf numFmtId="10" fontId="81" fillId="0" borderId="0" xfId="434" applyNumberFormat="1" applyFont="1" applyFill="1" applyBorder="1" applyAlignment="1">
      <alignment horizontal="center" vertical="center"/>
    </xf>
    <xf numFmtId="0" fontId="87" fillId="0" borderId="0" xfId="433" applyFont="1"/>
    <xf numFmtId="0" fontId="86" fillId="0" borderId="0" xfId="433" applyFont="1" applyAlignment="1">
      <alignment horizontal="left"/>
    </xf>
    <xf numFmtId="0" fontId="87" fillId="0" borderId="0" xfId="433" applyFont="1" applyAlignment="1">
      <alignment horizontal="center"/>
    </xf>
    <xf numFmtId="168" fontId="87" fillId="0" borderId="0" xfId="76" applyNumberFormat="1" applyFont="1"/>
    <xf numFmtId="0" fontId="88" fillId="0" borderId="0" xfId="433" applyFont="1"/>
    <xf numFmtId="0" fontId="89" fillId="0" borderId="0" xfId="433" applyFont="1"/>
    <xf numFmtId="0" fontId="90" fillId="0" borderId="0" xfId="433" applyFont="1"/>
    <xf numFmtId="6" fontId="87" fillId="0" borderId="0" xfId="433" applyNumberFormat="1" applyFont="1"/>
    <xf numFmtId="0" fontId="76" fillId="0" borderId="0" xfId="433" applyFont="1" applyAlignment="1">
      <alignment horizontal="centerContinuous" vertical="top"/>
    </xf>
    <xf numFmtId="167" fontId="76" fillId="0" borderId="0" xfId="50" applyNumberFormat="1" applyFont="1" applyAlignment="1">
      <alignment horizontal="center" vertical="top"/>
    </xf>
    <xf numFmtId="0" fontId="73" fillId="0" borderId="0" xfId="433" applyFont="1"/>
    <xf numFmtId="0" fontId="84" fillId="0" borderId="0" xfId="433" applyFont="1"/>
    <xf numFmtId="0" fontId="84" fillId="0" borderId="0" xfId="433" applyFont="1" applyAlignment="1">
      <alignment horizontal="center"/>
    </xf>
    <xf numFmtId="6" fontId="73" fillId="0" borderId="0" xfId="433" applyNumberFormat="1" applyFont="1"/>
    <xf numFmtId="9" fontId="70" fillId="0" borderId="0" xfId="434" applyFont="1" applyFill="1" applyBorder="1" applyAlignment="1">
      <alignment horizontal="left"/>
    </xf>
    <xf numFmtId="9" fontId="68" fillId="0" borderId="0" xfId="434" applyFont="1" applyFill="1" applyBorder="1" applyAlignment="1">
      <alignment horizontal="center"/>
    </xf>
    <xf numFmtId="9" fontId="68" fillId="0" borderId="0" xfId="433" applyNumberFormat="1" applyFont="1" applyAlignment="1">
      <alignment horizontal="center" vertical="top"/>
    </xf>
    <xf numFmtId="42" fontId="68" fillId="0" borderId="0" xfId="432" applyNumberFormat="1" applyFont="1" applyFill="1" applyBorder="1" applyAlignment="1">
      <alignment horizontal="right" vertical="top"/>
    </xf>
    <xf numFmtId="10" fontId="68" fillId="0" borderId="0" xfId="433" applyNumberFormat="1" applyFont="1" applyAlignment="1">
      <alignment horizontal="center" vertical="top"/>
    </xf>
    <xf numFmtId="6" fontId="68" fillId="0" borderId="0" xfId="433" applyNumberFormat="1" applyFont="1" applyAlignment="1">
      <alignment horizontal="center" vertical="top"/>
    </xf>
    <xf numFmtId="0" fontId="84" fillId="0" borderId="0" xfId="433" applyFont="1" applyAlignment="1">
      <alignment horizontal="center" vertical="center" wrapText="1"/>
    </xf>
    <xf numFmtId="0" fontId="84" fillId="0" borderId="0" xfId="433" applyFont="1" applyAlignment="1">
      <alignment vertical="center" wrapText="1"/>
    </xf>
    <xf numFmtId="0" fontId="91" fillId="0" borderId="0" xfId="433" applyFont="1"/>
    <xf numFmtId="0" fontId="83" fillId="0" borderId="0" xfId="433" applyFont="1" applyAlignment="1">
      <alignment horizontal="center"/>
    </xf>
    <xf numFmtId="0" fontId="85" fillId="0" borderId="0" xfId="433" applyFont="1" applyAlignment="1">
      <alignment horizontal="center"/>
    </xf>
    <xf numFmtId="0" fontId="76" fillId="0" borderId="0" xfId="433" applyFont="1" applyAlignment="1">
      <alignment horizontal="center" vertical="top" wrapText="1"/>
    </xf>
    <xf numFmtId="44" fontId="69" fillId="41" borderId="60" xfId="436" applyFont="1" applyFill="1" applyBorder="1"/>
    <xf numFmtId="9" fontId="70" fillId="41" borderId="25" xfId="434" applyFont="1" applyFill="1" applyBorder="1"/>
    <xf numFmtId="165" fontId="70" fillId="41" borderId="43" xfId="432" applyNumberFormat="1" applyFont="1" applyFill="1" applyBorder="1"/>
    <xf numFmtId="0" fontId="70" fillId="41" borderId="64" xfId="433" applyFont="1" applyFill="1" applyBorder="1" applyAlignment="1">
      <alignment horizontal="left"/>
    </xf>
    <xf numFmtId="6" fontId="76" fillId="34" borderId="41" xfId="433" applyNumberFormat="1" applyFont="1" applyFill="1" applyBorder="1" applyAlignment="1">
      <alignment horizontal="center" vertical="top" wrapText="1"/>
    </xf>
    <xf numFmtId="6" fontId="70" fillId="41" borderId="25" xfId="433" applyNumberFormat="1" applyFont="1" applyFill="1" applyBorder="1" applyAlignment="1">
      <alignment horizontal="right"/>
    </xf>
    <xf numFmtId="165" fontId="77" fillId="41" borderId="34" xfId="48" applyNumberFormat="1" applyFont="1" applyFill="1" applyBorder="1" applyAlignment="1">
      <alignment vertical="top"/>
    </xf>
    <xf numFmtId="0" fontId="92" fillId="0" borderId="0" xfId="433" applyFont="1" applyAlignment="1">
      <alignment horizontal="center" vertical="top"/>
    </xf>
    <xf numFmtId="10" fontId="92" fillId="0" borderId="0" xfId="74" applyNumberFormat="1" applyFont="1" applyAlignment="1">
      <alignment horizontal="center"/>
    </xf>
    <xf numFmtId="166" fontId="93" fillId="0" borderId="0" xfId="75" applyFont="1" applyFill="1" applyAlignment="1">
      <alignment horizontal="left" vertical="top"/>
    </xf>
    <xf numFmtId="170" fontId="94" fillId="0" borderId="23" xfId="76" applyNumberFormat="1" applyFont="1" applyFill="1" applyBorder="1"/>
    <xf numFmtId="0" fontId="94" fillId="0" borderId="0" xfId="433" applyFont="1"/>
    <xf numFmtId="43" fontId="94" fillId="0" borderId="59" xfId="433" applyNumberFormat="1" applyFont="1" applyBorder="1" applyAlignment="1">
      <alignment horizontal="right"/>
    </xf>
    <xf numFmtId="169" fontId="94" fillId="0" borderId="52" xfId="78" applyNumberFormat="1" applyFont="1" applyFill="1" applyBorder="1"/>
    <xf numFmtId="43" fontId="94" fillId="0" borderId="53" xfId="433" applyNumberFormat="1" applyFont="1" applyBorder="1" applyAlignment="1">
      <alignment horizontal="right"/>
    </xf>
    <xf numFmtId="169" fontId="94" fillId="0" borderId="23" xfId="78" applyNumberFormat="1" applyFont="1" applyFill="1" applyBorder="1"/>
    <xf numFmtId="170" fontId="94" fillId="0" borderId="59" xfId="432" applyNumberFormat="1" applyFont="1" applyFill="1" applyBorder="1"/>
    <xf numFmtId="170" fontId="94" fillId="0" borderId="23" xfId="432" applyNumberFormat="1" applyFont="1" applyFill="1" applyBorder="1"/>
    <xf numFmtId="6" fontId="94" fillId="0" borderId="59" xfId="433" applyNumberFormat="1" applyFont="1" applyBorder="1"/>
    <xf numFmtId="6" fontId="95" fillId="0" borderId="23" xfId="433" applyNumberFormat="1" applyFont="1" applyBorder="1"/>
    <xf numFmtId="8" fontId="95" fillId="0" borderId="23" xfId="433" applyNumberFormat="1" applyFont="1" applyBorder="1"/>
    <xf numFmtId="170" fontId="95" fillId="41" borderId="43" xfId="432" applyNumberFormat="1" applyFont="1" applyFill="1" applyBorder="1"/>
    <xf numFmtId="170" fontId="95" fillId="41" borderId="65" xfId="432" applyNumberFormat="1" applyFont="1" applyFill="1" applyBorder="1"/>
    <xf numFmtId="0" fontId="95" fillId="0" borderId="0" xfId="433" applyFont="1"/>
    <xf numFmtId="43" fontId="95" fillId="41" borderId="60" xfId="432" applyFont="1" applyFill="1" applyBorder="1"/>
    <xf numFmtId="43" fontId="95" fillId="41" borderId="25" xfId="432" applyFont="1" applyFill="1" applyBorder="1"/>
    <xf numFmtId="2" fontId="95" fillId="41" borderId="25" xfId="433" applyNumberFormat="1" applyFont="1" applyFill="1" applyBorder="1"/>
    <xf numFmtId="170" fontId="95" fillId="41" borderId="25" xfId="432" applyNumberFormat="1" applyFont="1" applyFill="1" applyBorder="1"/>
    <xf numFmtId="170" fontId="95" fillId="41" borderId="44" xfId="432" applyNumberFormat="1" applyFont="1" applyFill="1" applyBorder="1"/>
    <xf numFmtId="8" fontId="95" fillId="41" borderId="25" xfId="432" applyNumberFormat="1" applyFont="1" applyFill="1" applyBorder="1"/>
    <xf numFmtId="8" fontId="95" fillId="41" borderId="25" xfId="433" applyNumberFormat="1" applyFont="1" applyFill="1" applyBorder="1"/>
    <xf numFmtId="170" fontId="95" fillId="41" borderId="61" xfId="432" applyNumberFormat="1" applyFont="1" applyFill="1" applyBorder="1"/>
    <xf numFmtId="170" fontId="95" fillId="41" borderId="60" xfId="433" applyNumberFormat="1" applyFont="1" applyFill="1" applyBorder="1"/>
    <xf numFmtId="170" fontId="95" fillId="41" borderId="25" xfId="433" applyNumberFormat="1" applyFont="1" applyFill="1" applyBorder="1"/>
    <xf numFmtId="170" fontId="95" fillId="41" borderId="61" xfId="433" applyNumberFormat="1" applyFont="1" applyFill="1" applyBorder="1"/>
    <xf numFmtId="6" fontId="95" fillId="41" borderId="60" xfId="434" applyNumberFormat="1" applyFont="1" applyFill="1" applyBorder="1"/>
    <xf numFmtId="6" fontId="95" fillId="41" borderId="25" xfId="434" applyNumberFormat="1" applyFont="1" applyFill="1" applyBorder="1"/>
    <xf numFmtId="6" fontId="95" fillId="41" borderId="61" xfId="434" applyNumberFormat="1" applyFont="1" applyFill="1" applyBorder="1"/>
    <xf numFmtId="6" fontId="94" fillId="0" borderId="23" xfId="433" applyNumberFormat="1" applyFont="1" applyBorder="1"/>
    <xf numFmtId="0" fontId="95" fillId="41" borderId="25" xfId="433" applyFont="1" applyFill="1" applyBorder="1"/>
    <xf numFmtId="164" fontId="95" fillId="41" borderId="25" xfId="433" applyNumberFormat="1" applyFont="1" applyFill="1" applyBorder="1"/>
    <xf numFmtId="6" fontId="95" fillId="41" borderId="61" xfId="433" applyNumberFormat="1" applyFont="1" applyFill="1" applyBorder="1"/>
    <xf numFmtId="165" fontId="94" fillId="0" borderId="52" xfId="48" applyNumberFormat="1" applyFont="1" applyFill="1" applyBorder="1"/>
    <xf numFmtId="8" fontId="94" fillId="0" borderId="23" xfId="433" applyNumberFormat="1" applyFont="1" applyBorder="1"/>
    <xf numFmtId="9" fontId="94" fillId="41" borderId="25" xfId="434" applyFont="1" applyFill="1" applyBorder="1"/>
    <xf numFmtId="44" fontId="95" fillId="41" borderId="25" xfId="433" applyNumberFormat="1" applyFont="1" applyFill="1" applyBorder="1"/>
    <xf numFmtId="8" fontId="94" fillId="41" borderId="61" xfId="433" applyNumberFormat="1" applyFont="1" applyFill="1" applyBorder="1"/>
    <xf numFmtId="44" fontId="95" fillId="0" borderId="23" xfId="433" applyNumberFormat="1" applyFont="1" applyBorder="1"/>
    <xf numFmtId="0" fontId="94" fillId="0" borderId="23" xfId="433" applyFont="1" applyBorder="1" applyAlignment="1">
      <alignment horizontal="center"/>
    </xf>
    <xf numFmtId="9" fontId="94" fillId="41" borderId="25" xfId="92" applyFont="1" applyFill="1" applyBorder="1"/>
    <xf numFmtId="44" fontId="94" fillId="41" borderId="25" xfId="433" applyNumberFormat="1" applyFont="1" applyFill="1" applyBorder="1"/>
    <xf numFmtId="44" fontId="95" fillId="41" borderId="61" xfId="433" applyNumberFormat="1" applyFont="1" applyFill="1" applyBorder="1"/>
    <xf numFmtId="171" fontId="95" fillId="41" borderId="25" xfId="80" applyNumberFormat="1" applyFont="1" applyFill="1" applyBorder="1"/>
    <xf numFmtId="0" fontId="95" fillId="41" borderId="61" xfId="433" applyFont="1" applyFill="1" applyBorder="1" applyAlignment="1">
      <alignment horizontal="center"/>
    </xf>
    <xf numFmtId="44" fontId="94" fillId="0" borderId="59" xfId="433" applyNumberFormat="1" applyFont="1" applyBorder="1"/>
    <xf numFmtId="10" fontId="95" fillId="28" borderId="23" xfId="92" applyNumberFormat="1" applyFont="1" applyFill="1" applyBorder="1"/>
    <xf numFmtId="44" fontId="95" fillId="41" borderId="60" xfId="433" applyNumberFormat="1" applyFont="1" applyFill="1" applyBorder="1"/>
    <xf numFmtId="44" fontId="95" fillId="36" borderId="25" xfId="433" applyNumberFormat="1" applyFont="1" applyFill="1" applyBorder="1"/>
    <xf numFmtId="10" fontId="95" fillId="36" borderId="61" xfId="92" applyNumberFormat="1" applyFont="1" applyFill="1" applyBorder="1"/>
    <xf numFmtId="9" fontId="94" fillId="0" borderId="0" xfId="74" applyFont="1" applyFill="1" applyBorder="1" applyAlignment="1">
      <alignment horizontal="center" vertical="top" wrapText="1"/>
    </xf>
    <xf numFmtId="0" fontId="94" fillId="0" borderId="0" xfId="433" applyFont="1" applyAlignment="1">
      <alignment vertical="top"/>
    </xf>
    <xf numFmtId="0" fontId="95" fillId="0" borderId="0" xfId="433" applyFont="1" applyAlignment="1">
      <alignment vertical="top"/>
    </xf>
    <xf numFmtId="6" fontId="94" fillId="0" borderId="0" xfId="433" applyNumberFormat="1" applyFont="1" applyAlignment="1">
      <alignment vertical="top"/>
    </xf>
    <xf numFmtId="0" fontId="94" fillId="0" borderId="0" xfId="433" applyFont="1" applyAlignment="1">
      <alignment horizontal="center" vertical="top"/>
    </xf>
    <xf numFmtId="0" fontId="95" fillId="0" borderId="0" xfId="433" applyFont="1" applyAlignment="1">
      <alignment vertical="center"/>
    </xf>
    <xf numFmtId="0" fontId="96" fillId="0" borderId="0" xfId="431" applyFont="1"/>
    <xf numFmtId="9" fontId="96" fillId="0" borderId="0" xfId="92" applyFont="1"/>
    <xf numFmtId="0" fontId="72" fillId="0" borderId="46" xfId="433" applyFont="1" applyBorder="1"/>
    <xf numFmtId="9" fontId="68" fillId="37" borderId="46" xfId="434" applyFont="1" applyFill="1" applyBorder="1" applyAlignment="1">
      <alignment horizontal="center"/>
    </xf>
    <xf numFmtId="9" fontId="68" fillId="37" borderId="46" xfId="433" applyNumberFormat="1" applyFont="1" applyFill="1" applyBorder="1" applyAlignment="1">
      <alignment horizontal="center" vertical="top"/>
    </xf>
    <xf numFmtId="42" fontId="68" fillId="37" borderId="46" xfId="432" applyNumberFormat="1" applyFont="1" applyFill="1" applyBorder="1" applyAlignment="1">
      <alignment horizontal="right" vertical="top"/>
    </xf>
    <xf numFmtId="10" fontId="68" fillId="37" borderId="46" xfId="433" applyNumberFormat="1" applyFont="1" applyFill="1" applyBorder="1" applyAlignment="1">
      <alignment horizontal="center" vertical="top"/>
    </xf>
    <xf numFmtId="6" fontId="68" fillId="31" borderId="46" xfId="433" applyNumberFormat="1" applyFont="1" applyFill="1" applyBorder="1" applyAlignment="1">
      <alignment horizontal="center" vertical="top"/>
    </xf>
    <xf numFmtId="0" fontId="74" fillId="38" borderId="46" xfId="433" applyFont="1" applyFill="1" applyBorder="1" applyAlignment="1">
      <alignment horizontal="center" vertical="top" wrapText="1"/>
    </xf>
    <xf numFmtId="0" fontId="74" fillId="32" borderId="46" xfId="433" applyFont="1" applyFill="1" applyBorder="1" applyAlignment="1">
      <alignment horizontal="center" vertical="top" wrapText="1"/>
    </xf>
    <xf numFmtId="165" fontId="69" fillId="0" borderId="46" xfId="72" applyNumberFormat="1" applyFont="1" applyBorder="1"/>
    <xf numFmtId="169" fontId="94" fillId="0" borderId="46" xfId="78" applyNumberFormat="1" applyFont="1" applyBorder="1"/>
    <xf numFmtId="43" fontId="94" fillId="0" borderId="46" xfId="433" applyNumberFormat="1" applyFont="1" applyBorder="1" applyAlignment="1">
      <alignment horizontal="right"/>
    </xf>
    <xf numFmtId="2" fontId="94" fillId="30" borderId="46" xfId="433" applyNumberFormat="1" applyFont="1" applyFill="1" applyBorder="1"/>
    <xf numFmtId="169" fontId="94" fillId="0" borderId="46" xfId="433" applyNumberFormat="1" applyFont="1" applyBorder="1"/>
    <xf numFmtId="170" fontId="94" fillId="0" borderId="46" xfId="432" applyNumberFormat="1" applyFont="1" applyFill="1" applyBorder="1"/>
    <xf numFmtId="6" fontId="94" fillId="0" borderId="46" xfId="433" applyNumberFormat="1" applyFont="1" applyBorder="1"/>
    <xf numFmtId="10" fontId="94" fillId="0" borderId="46" xfId="434" applyNumberFormat="1" applyFont="1" applyFill="1" applyBorder="1"/>
    <xf numFmtId="164" fontId="95" fillId="0" borderId="46" xfId="433" applyNumberFormat="1" applyFont="1" applyBorder="1"/>
    <xf numFmtId="9" fontId="94" fillId="0" borderId="46" xfId="434" applyFont="1" applyFill="1" applyBorder="1"/>
    <xf numFmtId="10" fontId="94" fillId="0" borderId="46" xfId="92" applyNumberFormat="1" applyFont="1" applyBorder="1"/>
    <xf numFmtId="10" fontId="94" fillId="0" borderId="46" xfId="80" applyNumberFormat="1" applyFont="1" applyFill="1" applyBorder="1"/>
    <xf numFmtId="44" fontId="95" fillId="0" borderId="46" xfId="433" applyNumberFormat="1" applyFont="1" applyBorder="1"/>
    <xf numFmtId="9" fontId="94" fillId="0" borderId="46" xfId="92" applyFont="1" applyFill="1" applyBorder="1"/>
    <xf numFmtId="44" fontId="94" fillId="0" borderId="46" xfId="433" applyNumberFormat="1" applyFont="1" applyBorder="1"/>
    <xf numFmtId="171" fontId="94" fillId="0" borderId="46" xfId="80" applyNumberFormat="1" applyFont="1" applyFill="1" applyBorder="1"/>
    <xf numFmtId="169" fontId="94" fillId="0" borderId="46" xfId="78" applyNumberFormat="1" applyFont="1" applyFill="1" applyBorder="1"/>
    <xf numFmtId="0" fontId="76" fillId="32" borderId="67" xfId="433" applyFont="1" applyFill="1" applyBorder="1" applyAlignment="1">
      <alignment horizontal="centerContinuous" vertical="top"/>
    </xf>
    <xf numFmtId="43" fontId="95" fillId="41" borderId="68" xfId="432" applyFont="1" applyFill="1" applyBorder="1"/>
    <xf numFmtId="8" fontId="95" fillId="41" borderId="68" xfId="432" applyNumberFormat="1" applyFont="1" applyFill="1" applyBorder="1"/>
    <xf numFmtId="44" fontId="71" fillId="0" borderId="0" xfId="439" applyFont="1"/>
    <xf numFmtId="10" fontId="71" fillId="0" borderId="0" xfId="92" applyNumberFormat="1" applyFont="1"/>
    <xf numFmtId="0" fontId="76" fillId="39" borderId="0" xfId="433" applyFont="1" applyFill="1" applyAlignment="1">
      <alignment horizontal="center" vertical="center" wrapText="1"/>
    </xf>
    <xf numFmtId="167" fontId="76" fillId="39" borderId="0" xfId="50" applyNumberFormat="1" applyFont="1" applyFill="1" applyAlignment="1">
      <alignment horizontal="center" vertical="center"/>
    </xf>
    <xf numFmtId="0" fontId="68" fillId="0" borderId="0" xfId="433" applyFont="1" applyAlignment="1">
      <alignment horizontal="left"/>
    </xf>
    <xf numFmtId="37" fontId="68" fillId="0" borderId="0" xfId="431" applyNumberFormat="1" applyFont="1" applyAlignment="1">
      <alignment horizontal="center"/>
    </xf>
    <xf numFmtId="0" fontId="68" fillId="0" borderId="0" xfId="433" applyFont="1" applyAlignment="1">
      <alignment horizontal="center"/>
    </xf>
    <xf numFmtId="37" fontId="68" fillId="0" borderId="0" xfId="72" applyNumberFormat="1" applyFont="1" applyFill="1" applyBorder="1" applyAlignment="1">
      <alignment horizontal="center"/>
    </xf>
    <xf numFmtId="0" fontId="70" fillId="0" borderId="0" xfId="431" applyFont="1"/>
    <xf numFmtId="0" fontId="70" fillId="0" borderId="70" xfId="431" applyFont="1" applyBorder="1"/>
    <xf numFmtId="37" fontId="70" fillId="0" borderId="70" xfId="432" applyNumberFormat="1" applyFont="1" applyFill="1" applyBorder="1" applyAlignment="1">
      <alignment horizontal="center"/>
    </xf>
    <xf numFmtId="0" fontId="70" fillId="0" borderId="70" xfId="431" applyFont="1" applyBorder="1" applyAlignment="1">
      <alignment horizontal="center"/>
    </xf>
    <xf numFmtId="0" fontId="99" fillId="0" borderId="70" xfId="431" applyFont="1" applyBorder="1" applyAlignment="1">
      <alignment horizontal="center"/>
    </xf>
    <xf numFmtId="0" fontId="72" fillId="0" borderId="0" xfId="431" applyFont="1"/>
    <xf numFmtId="3" fontId="68" fillId="0" borderId="0" xfId="50" applyNumberFormat="1" applyFont="1" applyAlignment="1">
      <alignment horizontal="center"/>
    </xf>
    <xf numFmtId="3" fontId="68" fillId="0" borderId="0" xfId="72" applyNumberFormat="1" applyFont="1" applyFill="1" applyBorder="1" applyAlignment="1">
      <alignment horizontal="center"/>
    </xf>
    <xf numFmtId="3" fontId="68" fillId="0" borderId="0" xfId="431" applyNumberFormat="1" applyFont="1" applyAlignment="1">
      <alignment horizontal="center"/>
    </xf>
    <xf numFmtId="0" fontId="76" fillId="0" borderId="0" xfId="431" applyFont="1"/>
    <xf numFmtId="0" fontId="76" fillId="0" borderId="0" xfId="431" applyFont="1" applyAlignment="1">
      <alignment horizontal="center"/>
    </xf>
    <xf numFmtId="0" fontId="74" fillId="0" borderId="0" xfId="431" applyFont="1"/>
    <xf numFmtId="167" fontId="76" fillId="0" borderId="0" xfId="50" applyNumberFormat="1" applyFont="1" applyAlignment="1">
      <alignment horizontal="center" vertical="center"/>
    </xf>
    <xf numFmtId="37" fontId="70" fillId="0" borderId="0" xfId="432" applyNumberFormat="1" applyFont="1" applyFill="1" applyBorder="1" applyAlignment="1">
      <alignment horizontal="center"/>
    </xf>
    <xf numFmtId="0" fontId="70" fillId="0" borderId="0" xfId="431" applyFont="1" applyAlignment="1">
      <alignment horizontal="center"/>
    </xf>
    <xf numFmtId="0" fontId="99" fillId="0" borderId="0" xfId="431" applyFont="1" applyAlignment="1">
      <alignment horizontal="center"/>
    </xf>
    <xf numFmtId="42" fontId="68" fillId="0" borderId="0" xfId="437" applyNumberFormat="1" applyFont="1" applyFill="1" applyBorder="1" applyAlignment="1" applyProtection="1">
      <alignment horizontal="center"/>
    </xf>
    <xf numFmtId="42" fontId="68" fillId="0" borderId="0" xfId="48" applyNumberFormat="1" applyFont="1" applyFill="1" applyBorder="1" applyAlignment="1" applyProtection="1">
      <alignment horizontal="center"/>
    </xf>
    <xf numFmtId="42" fontId="70" fillId="0" borderId="0" xfId="432" applyNumberFormat="1" applyFont="1" applyFill="1" applyBorder="1" applyAlignment="1" applyProtection="1">
      <alignment horizontal="center"/>
    </xf>
    <xf numFmtId="165" fontId="70" fillId="0" borderId="0" xfId="438" applyNumberFormat="1" applyFont="1" applyFill="1" applyBorder="1" applyAlignment="1" applyProtection="1">
      <alignment horizontal="center"/>
    </xf>
    <xf numFmtId="42" fontId="68" fillId="0" borderId="0" xfId="438" applyNumberFormat="1" applyFont="1" applyFill="1" applyBorder="1" applyAlignment="1" applyProtection="1">
      <alignment horizontal="center"/>
    </xf>
    <xf numFmtId="0" fontId="74" fillId="32" borderId="59" xfId="433" applyFont="1" applyFill="1" applyBorder="1" applyAlignment="1">
      <alignment horizontal="center" vertical="top" wrapText="1"/>
    </xf>
    <xf numFmtId="3" fontId="71" fillId="0" borderId="0" xfId="50" applyNumberFormat="1" applyFont="1" applyAlignment="1">
      <alignment horizontal="center"/>
    </xf>
    <xf numFmtId="3" fontId="68" fillId="28" borderId="0" xfId="431" applyNumberFormat="1" applyFont="1" applyFill="1" applyAlignment="1">
      <alignment horizontal="center"/>
    </xf>
    <xf numFmtId="37" fontId="68" fillId="28" borderId="0" xfId="72" applyNumberFormat="1" applyFont="1" applyFill="1" applyBorder="1" applyAlignment="1">
      <alignment horizontal="center"/>
    </xf>
    <xf numFmtId="42" fontId="68" fillId="28" borderId="0" xfId="437" applyNumberFormat="1" applyFont="1" applyFill="1" applyBorder="1" applyAlignment="1" applyProtection="1">
      <alignment horizontal="center"/>
    </xf>
    <xf numFmtId="42" fontId="68" fillId="28" borderId="0" xfId="48" applyNumberFormat="1" applyFont="1" applyFill="1" applyBorder="1" applyAlignment="1" applyProtection="1">
      <alignment horizontal="center"/>
    </xf>
    <xf numFmtId="9" fontId="71" fillId="0" borderId="0" xfId="92" applyFont="1" applyAlignment="1">
      <alignment horizontal="right"/>
    </xf>
    <xf numFmtId="0" fontId="76" fillId="42" borderId="0" xfId="431" applyFont="1" applyFill="1"/>
    <xf numFmtId="0" fontId="76" fillId="42" borderId="0" xfId="431" applyFont="1" applyFill="1" applyAlignment="1">
      <alignment horizontal="center"/>
    </xf>
    <xf numFmtId="3" fontId="68" fillId="43" borderId="0" xfId="431" applyNumberFormat="1" applyFont="1" applyFill="1" applyAlignment="1">
      <alignment horizontal="center"/>
    </xf>
    <xf numFmtId="3" fontId="68" fillId="0" borderId="0" xfId="431" applyNumberFormat="1" applyFont="1"/>
    <xf numFmtId="37" fontId="68" fillId="0" borderId="0" xfId="431" applyNumberFormat="1" applyFont="1"/>
    <xf numFmtId="9" fontId="68" fillId="0" borderId="0" xfId="92" applyFont="1"/>
    <xf numFmtId="0" fontId="39" fillId="0" borderId="0" xfId="0" applyFont="1"/>
    <xf numFmtId="0" fontId="3" fillId="0" borderId="0" xfId="440" applyAlignment="1">
      <alignment horizontal="left"/>
    </xf>
    <xf numFmtId="165" fontId="3" fillId="0" borderId="0" xfId="440" applyNumberFormat="1"/>
    <xf numFmtId="0" fontId="70" fillId="0" borderId="23" xfId="72" applyNumberFormat="1" applyFont="1" applyFill="1" applyBorder="1" applyAlignment="1">
      <alignment horizontal="left"/>
    </xf>
    <xf numFmtId="0" fontId="70" fillId="41" borderId="10" xfId="72" applyNumberFormat="1" applyFont="1" applyFill="1" applyBorder="1" applyAlignment="1">
      <alignment horizontal="left"/>
    </xf>
    <xf numFmtId="0" fontId="100" fillId="44" borderId="71" xfId="0" applyFont="1" applyFill="1" applyBorder="1"/>
    <xf numFmtId="0" fontId="0" fillId="0" borderId="0" xfId="0" applyAlignment="1">
      <alignment horizontal="left"/>
    </xf>
    <xf numFmtId="165" fontId="0" fillId="0" borderId="0" xfId="0" applyNumberFormat="1"/>
    <xf numFmtId="165" fontId="68" fillId="0" borderId="0" xfId="431" applyNumberFormat="1" applyFont="1"/>
    <xf numFmtId="165" fontId="71" fillId="0" borderId="0" xfId="431" applyNumberFormat="1" applyFont="1"/>
    <xf numFmtId="0" fontId="39" fillId="0" borderId="0" xfId="0" applyFont="1" applyAlignment="1">
      <alignment vertical="center" wrapText="1"/>
    </xf>
    <xf numFmtId="0" fontId="58" fillId="0" borderId="0" xfId="0" applyFont="1" applyAlignment="1">
      <alignment vertical="center" wrapText="1"/>
    </xf>
    <xf numFmtId="3" fontId="39" fillId="0" borderId="0" xfId="0" applyNumberFormat="1" applyFont="1" applyAlignment="1">
      <alignment vertical="center" wrapText="1"/>
    </xf>
    <xf numFmtId="3" fontId="39" fillId="0" borderId="0" xfId="0" applyNumberFormat="1" applyFont="1"/>
    <xf numFmtId="0" fontId="2" fillId="0" borderId="0" xfId="442"/>
    <xf numFmtId="42" fontId="101" fillId="46" borderId="46" xfId="443" applyNumberFormat="1" applyFont="1" applyFill="1" applyBorder="1" applyAlignment="1" applyProtection="1">
      <alignment horizontal="center"/>
    </xf>
    <xf numFmtId="42" fontId="101" fillId="47" borderId="46" xfId="443" applyNumberFormat="1" applyFont="1" applyFill="1" applyBorder="1" applyAlignment="1" applyProtection="1">
      <alignment horizontal="center"/>
    </xf>
    <xf numFmtId="42" fontId="101" fillId="0" borderId="46" xfId="443" applyNumberFormat="1" applyFont="1" applyFill="1" applyBorder="1" applyAlignment="1" applyProtection="1">
      <alignment horizontal="center"/>
    </xf>
    <xf numFmtId="44" fontId="70" fillId="41" borderId="60" xfId="439" applyFont="1" applyFill="1" applyBorder="1"/>
    <xf numFmtId="44" fontId="69" fillId="0" borderId="59" xfId="439" applyFont="1" applyBorder="1"/>
    <xf numFmtId="164" fontId="69" fillId="0" borderId="59" xfId="439" applyNumberFormat="1" applyFont="1" applyBorder="1"/>
    <xf numFmtId="164" fontId="77" fillId="41" borderId="60" xfId="439" applyNumberFormat="1" applyFont="1" applyFill="1" applyBorder="1"/>
    <xf numFmtId="44" fontId="94" fillId="0" borderId="46" xfId="439" applyFont="1" applyBorder="1"/>
    <xf numFmtId="44" fontId="70" fillId="41" borderId="25" xfId="439" applyFont="1" applyFill="1" applyBorder="1"/>
    <xf numFmtId="44" fontId="69" fillId="41" borderId="60" xfId="439" applyFont="1" applyFill="1" applyBorder="1"/>
    <xf numFmtId="44" fontId="94" fillId="0" borderId="53" xfId="439" applyFont="1" applyBorder="1" applyAlignment="1">
      <alignment horizontal="right"/>
    </xf>
    <xf numFmtId="44" fontId="94" fillId="0" borderId="46" xfId="439" applyFont="1" applyBorder="1" applyAlignment="1">
      <alignment horizontal="right"/>
    </xf>
    <xf numFmtId="2" fontId="94" fillId="30" borderId="46" xfId="432" applyNumberFormat="1" applyFont="1" applyFill="1" applyBorder="1"/>
    <xf numFmtId="0" fontId="102" fillId="0" borderId="0" xfId="0" applyFont="1" applyAlignment="1">
      <alignment vertical="center"/>
    </xf>
    <xf numFmtId="164" fontId="95" fillId="28" borderId="46" xfId="433" applyNumberFormat="1" applyFont="1" applyFill="1" applyBorder="1"/>
    <xf numFmtId="43" fontId="80" fillId="0" borderId="0" xfId="438" applyFont="1"/>
    <xf numFmtId="165" fontId="80" fillId="0" borderId="0" xfId="438" applyNumberFormat="1" applyFont="1"/>
    <xf numFmtId="0" fontId="103" fillId="42" borderId="0" xfId="431" applyFont="1" applyFill="1"/>
    <xf numFmtId="165" fontId="80" fillId="0" borderId="0" xfId="438" applyNumberFormat="1" applyFont="1" applyFill="1"/>
    <xf numFmtId="44" fontId="70" fillId="0" borderId="0" xfId="433" applyNumberFormat="1" applyFont="1"/>
    <xf numFmtId="9" fontId="70" fillId="0" borderId="0" xfId="92" applyFont="1"/>
    <xf numFmtId="44" fontId="71" fillId="0" borderId="0" xfId="433" applyNumberFormat="1" applyFont="1"/>
    <xf numFmtId="0" fontId="68" fillId="0" borderId="46" xfId="433" applyFont="1" applyBorder="1" applyAlignment="1">
      <alignment vertical="top"/>
    </xf>
    <xf numFmtId="0" fontId="68" fillId="0" borderId="46" xfId="433" applyFont="1" applyBorder="1" applyAlignment="1">
      <alignment vertical="top" wrapText="1"/>
    </xf>
    <xf numFmtId="44" fontId="71" fillId="0" borderId="46" xfId="439" applyFont="1" applyBorder="1"/>
    <xf numFmtId="9" fontId="68" fillId="0" borderId="46" xfId="92" applyFont="1" applyBorder="1"/>
    <xf numFmtId="43" fontId="71" fillId="0" borderId="46" xfId="438" applyFont="1" applyBorder="1"/>
    <xf numFmtId="10" fontId="71" fillId="0" borderId="46" xfId="433" applyNumberFormat="1" applyFont="1" applyBorder="1"/>
    <xf numFmtId="0" fontId="71" fillId="0" borderId="46" xfId="433" applyFont="1" applyBorder="1"/>
    <xf numFmtId="44" fontId="71" fillId="0" borderId="46" xfId="433" applyNumberFormat="1" applyFont="1" applyBorder="1"/>
    <xf numFmtId="0" fontId="94" fillId="0" borderId="46" xfId="433" applyFont="1" applyBorder="1" applyAlignment="1">
      <alignment vertical="top" wrapText="1"/>
    </xf>
    <xf numFmtId="0" fontId="71" fillId="0" borderId="47" xfId="433" applyFont="1" applyBorder="1"/>
    <xf numFmtId="164" fontId="70" fillId="0" borderId="73" xfId="439" applyNumberFormat="1" applyFont="1" applyBorder="1"/>
    <xf numFmtId="0" fontId="70" fillId="0" borderId="46" xfId="433" applyFont="1" applyBorder="1" applyAlignment="1">
      <alignment vertical="top" wrapText="1"/>
    </xf>
    <xf numFmtId="0" fontId="104" fillId="0" borderId="0" xfId="0" applyFont="1" applyAlignment="1">
      <alignment vertical="center"/>
    </xf>
    <xf numFmtId="0" fontId="58" fillId="0" borderId="0" xfId="0" applyFont="1"/>
    <xf numFmtId="0" fontId="105" fillId="0" borderId="0" xfId="0" applyFont="1" applyAlignment="1">
      <alignment vertical="center"/>
    </xf>
    <xf numFmtId="0" fontId="39" fillId="49" borderId="46" xfId="0" applyFont="1" applyFill="1" applyBorder="1" applyAlignment="1">
      <alignment vertical="center"/>
    </xf>
    <xf numFmtId="164" fontId="58" fillId="49" borderId="46" xfId="439" applyNumberFormat="1" applyFont="1" applyFill="1" applyBorder="1" applyAlignment="1" applyProtection="1">
      <alignment horizontal="right" vertical="top"/>
    </xf>
    <xf numFmtId="0" fontId="106" fillId="0" borderId="46" xfId="0" applyFont="1" applyBorder="1"/>
    <xf numFmtId="9" fontId="106" fillId="0" borderId="46" xfId="0" applyNumberFormat="1" applyFont="1" applyBorder="1"/>
    <xf numFmtId="164" fontId="106" fillId="0" borderId="46" xfId="439" applyNumberFormat="1" applyFont="1" applyBorder="1" applyProtection="1"/>
    <xf numFmtId="0" fontId="58" fillId="49" borderId="46" xfId="0" applyFont="1" applyFill="1" applyBorder="1"/>
    <xf numFmtId="164" fontId="58" fillId="49" borderId="46" xfId="439" applyNumberFormat="1" applyFont="1" applyFill="1" applyBorder="1" applyProtection="1"/>
    <xf numFmtId="0" fontId="76" fillId="48" borderId="74" xfId="0" applyFont="1" applyFill="1" applyBorder="1"/>
    <xf numFmtId="0" fontId="68" fillId="50" borderId="0" xfId="72" applyNumberFormat="1" applyFont="1" applyFill="1" applyBorder="1" applyAlignment="1" applyProtection="1">
      <alignment horizontal="left"/>
    </xf>
    <xf numFmtId="0" fontId="72" fillId="50" borderId="0" xfId="447" applyFont="1" applyFill="1"/>
    <xf numFmtId="0" fontId="68" fillId="0" borderId="0" xfId="72" applyNumberFormat="1" applyFont="1" applyBorder="1" applyAlignment="1" applyProtection="1">
      <alignment horizontal="left"/>
    </xf>
    <xf numFmtId="0" fontId="72" fillId="0" borderId="0" xfId="447" applyFont="1"/>
    <xf numFmtId="0" fontId="68" fillId="50" borderId="70" xfId="72" applyNumberFormat="1" applyFont="1" applyFill="1" applyBorder="1" applyAlignment="1" applyProtection="1">
      <alignment horizontal="left"/>
    </xf>
    <xf numFmtId="0" fontId="72" fillId="50" borderId="70" xfId="447" applyFont="1" applyFill="1" applyBorder="1"/>
    <xf numFmtId="0" fontId="68" fillId="45" borderId="0" xfId="0" applyFont="1" applyFill="1"/>
    <xf numFmtId="0" fontId="0" fillId="45" borderId="0" xfId="0" applyFill="1"/>
    <xf numFmtId="0" fontId="112" fillId="45" borderId="0" xfId="0" applyFont="1" applyFill="1" applyAlignment="1">
      <alignment vertical="center"/>
    </xf>
    <xf numFmtId="0" fontId="72" fillId="45" borderId="0" xfId="433" applyFont="1" applyFill="1" applyAlignment="1">
      <alignment horizontal="center" vertical="top" wrapText="1"/>
    </xf>
    <xf numFmtId="0" fontId="74" fillId="45" borderId="0" xfId="433" applyFont="1" applyFill="1" applyAlignment="1">
      <alignment horizontal="center" vertical="top" wrapText="1"/>
    </xf>
    <xf numFmtId="164" fontId="76" fillId="45" borderId="76" xfId="0" applyNumberFormat="1" applyFont="1" applyFill="1" applyBorder="1"/>
    <xf numFmtId="164" fontId="70" fillId="45" borderId="77" xfId="0" applyNumberFormat="1" applyFont="1" applyFill="1" applyBorder="1"/>
    <xf numFmtId="9" fontId="0" fillId="45" borderId="0" xfId="92" applyFont="1" applyFill="1"/>
    <xf numFmtId="0" fontId="108" fillId="45" borderId="0" xfId="0" applyFont="1" applyFill="1"/>
    <xf numFmtId="9" fontId="92" fillId="45" borderId="79" xfId="434" applyFont="1" applyFill="1" applyBorder="1" applyAlignment="1" applyProtection="1">
      <alignment horizontal="center" vertical="center"/>
      <protection locked="0"/>
    </xf>
    <xf numFmtId="168" fontId="72" fillId="53" borderId="86" xfId="76" applyNumberFormat="1" applyFont="1" applyFill="1" applyBorder="1" applyAlignment="1">
      <alignment horizontal="center" vertical="top" wrapText="1"/>
    </xf>
    <xf numFmtId="0" fontId="72" fillId="53" borderId="87" xfId="433" applyFont="1" applyFill="1" applyBorder="1" applyAlignment="1">
      <alignment vertical="top" wrapText="1"/>
    </xf>
    <xf numFmtId="9" fontId="70" fillId="52" borderId="103" xfId="92" applyFont="1" applyFill="1" applyBorder="1" applyAlignment="1">
      <alignment horizontal="center"/>
    </xf>
    <xf numFmtId="164" fontId="70" fillId="52" borderId="94" xfId="92" applyNumberFormat="1" applyFont="1" applyFill="1" applyBorder="1" applyAlignment="1"/>
    <xf numFmtId="0" fontId="72" fillId="0" borderId="110" xfId="433" applyFont="1" applyBorder="1" applyAlignment="1">
      <alignment horizontal="center" vertical="center" wrapText="1"/>
    </xf>
    <xf numFmtId="0" fontId="72" fillId="0" borderId="111" xfId="433" applyFont="1" applyBorder="1" applyAlignment="1">
      <alignment horizontal="center" vertical="center" wrapText="1"/>
    </xf>
    <xf numFmtId="9" fontId="72" fillId="28" borderId="104" xfId="434" applyFont="1" applyFill="1" applyBorder="1" applyAlignment="1" applyProtection="1">
      <alignment horizontal="center" vertical="center"/>
      <protection locked="0"/>
    </xf>
    <xf numFmtId="9" fontId="72" fillId="28" borderId="108" xfId="434" applyFont="1" applyFill="1" applyBorder="1" applyAlignment="1" applyProtection="1">
      <alignment horizontal="center" vertical="center"/>
      <protection locked="0"/>
    </xf>
    <xf numFmtId="49" fontId="92" fillId="45" borderId="0" xfId="433" applyNumberFormat="1" applyFont="1" applyFill="1" applyAlignment="1">
      <alignment horizontal="center" vertical="center" wrapText="1"/>
    </xf>
    <xf numFmtId="9" fontId="95" fillId="52" borderId="97" xfId="92" applyFont="1" applyFill="1" applyBorder="1" applyAlignment="1">
      <alignment horizontal="center"/>
    </xf>
    <xf numFmtId="164" fontId="70" fillId="52" borderId="91" xfId="439" applyNumberFormat="1" applyFont="1" applyFill="1" applyBorder="1" applyAlignment="1"/>
    <xf numFmtId="9" fontId="95" fillId="52" borderId="99" xfId="92" applyFont="1" applyFill="1" applyBorder="1" applyAlignment="1">
      <alignment horizontal="center"/>
    </xf>
    <xf numFmtId="164" fontId="70" fillId="52" borderId="92" xfId="439" applyNumberFormat="1" applyFont="1" applyFill="1" applyBorder="1" applyAlignment="1"/>
    <xf numFmtId="9" fontId="95" fillId="52" borderId="101" xfId="92" applyFont="1" applyFill="1" applyBorder="1" applyAlignment="1">
      <alignment horizontal="center"/>
    </xf>
    <xf numFmtId="164" fontId="70" fillId="52" borderId="93" xfId="439" applyNumberFormat="1" applyFont="1" applyFill="1" applyBorder="1" applyAlignment="1"/>
    <xf numFmtId="164" fontId="70" fillId="52" borderId="96" xfId="439" applyNumberFormat="1" applyFont="1" applyFill="1" applyBorder="1" applyAlignment="1">
      <alignment horizontal="centerContinuous"/>
    </xf>
    <xf numFmtId="164" fontId="70" fillId="52" borderId="103" xfId="0" applyNumberFormat="1" applyFont="1" applyFill="1" applyBorder="1" applyAlignment="1">
      <alignment horizontal="centerContinuous"/>
    </xf>
    <xf numFmtId="0" fontId="72" fillId="53" borderId="86" xfId="433" applyFont="1" applyFill="1" applyBorder="1" applyAlignment="1">
      <alignment horizontal="centerContinuous" vertical="top" wrapText="1"/>
    </xf>
    <xf numFmtId="0" fontId="102" fillId="0" borderId="0" xfId="0" applyFont="1" applyAlignment="1">
      <alignment horizontal="center" vertical="center" wrapText="1"/>
    </xf>
    <xf numFmtId="164" fontId="70" fillId="52" borderId="114" xfId="439" applyNumberFormat="1" applyFont="1" applyFill="1" applyBorder="1" applyAlignment="1">
      <alignment horizontal="centerContinuous"/>
    </xf>
    <xf numFmtId="164" fontId="70" fillId="52" borderId="112" xfId="0" applyNumberFormat="1" applyFont="1" applyFill="1" applyBorder="1" applyAlignment="1">
      <alignment horizontal="centerContinuous"/>
    </xf>
    <xf numFmtId="44" fontId="70" fillId="52" borderId="114" xfId="439" applyFont="1" applyFill="1" applyBorder="1" applyAlignment="1">
      <alignment horizontal="centerContinuous"/>
    </xf>
    <xf numFmtId="164" fontId="70" fillId="52" borderId="116" xfId="439" applyNumberFormat="1" applyFont="1" applyFill="1" applyBorder="1" applyAlignment="1"/>
    <xf numFmtId="164" fontId="70" fillId="52" borderId="119" xfId="439" applyNumberFormat="1" applyFont="1" applyFill="1" applyBorder="1" applyAlignment="1">
      <alignment horizontal="centerContinuous"/>
    </xf>
    <xf numFmtId="164" fontId="70" fillId="52" borderId="120" xfId="439" applyNumberFormat="1" applyFont="1" applyFill="1" applyBorder="1" applyAlignment="1"/>
    <xf numFmtId="9" fontId="95" fillId="52" borderId="113" xfId="92" applyFont="1" applyFill="1" applyBorder="1" applyAlignment="1">
      <alignment horizontal="center"/>
    </xf>
    <xf numFmtId="9" fontId="95" fillId="52" borderId="121" xfId="92" applyFont="1" applyFill="1" applyBorder="1" applyAlignment="1">
      <alignment horizontal="center"/>
    </xf>
    <xf numFmtId="0" fontId="68" fillId="0" borderId="0" xfId="0" applyFont="1"/>
    <xf numFmtId="0" fontId="93" fillId="45" borderId="0" xfId="0" applyFont="1" applyFill="1" applyAlignment="1">
      <alignment vertical="center"/>
    </xf>
    <xf numFmtId="0" fontId="107" fillId="45" borderId="0" xfId="0" applyFont="1" applyFill="1" applyAlignment="1">
      <alignment vertical="center"/>
    </xf>
    <xf numFmtId="14" fontId="68" fillId="45" borderId="0" xfId="0" applyNumberFormat="1" applyFont="1" applyFill="1" applyAlignment="1">
      <alignment horizontal="left"/>
    </xf>
    <xf numFmtId="15" fontId="68" fillId="45" borderId="0" xfId="0" applyNumberFormat="1" applyFont="1" applyFill="1" applyAlignment="1">
      <alignment horizontal="left" vertical="center"/>
    </xf>
    <xf numFmtId="9" fontId="68" fillId="45" borderId="0" xfId="0" applyNumberFormat="1" applyFont="1" applyFill="1"/>
    <xf numFmtId="0" fontId="109" fillId="45" borderId="0" xfId="0" applyFont="1" applyFill="1" applyAlignment="1">
      <alignment horizontal="right" vertical="center"/>
    </xf>
    <xf numFmtId="0" fontId="72" fillId="0" borderId="109" xfId="433" applyFont="1" applyBorder="1" applyAlignment="1">
      <alignment horizontal="center" vertical="center" wrapText="1"/>
    </xf>
    <xf numFmtId="9" fontId="72" fillId="41" borderId="107" xfId="434" applyFont="1" applyFill="1" applyBorder="1" applyAlignment="1" applyProtection="1">
      <alignment horizontal="center" vertical="center"/>
    </xf>
    <xf numFmtId="9" fontId="72" fillId="41" borderId="104" xfId="434" applyFont="1" applyFill="1" applyBorder="1" applyAlignment="1" applyProtection="1">
      <alignment horizontal="center" vertical="center"/>
    </xf>
    <xf numFmtId="0" fontId="68" fillId="45" borderId="85" xfId="0" applyFont="1" applyFill="1" applyBorder="1" applyAlignment="1">
      <alignment horizontal="left"/>
    </xf>
    <xf numFmtId="0" fontId="71" fillId="41" borderId="88" xfId="433" applyFont="1" applyFill="1" applyBorder="1" applyAlignment="1">
      <alignment horizontal="center" vertical="top" wrapText="1"/>
    </xf>
    <xf numFmtId="0" fontId="71" fillId="41" borderId="86" xfId="433" applyFont="1" applyFill="1" applyBorder="1" applyAlignment="1">
      <alignment horizontal="center" vertical="top" wrapText="1"/>
    </xf>
    <xf numFmtId="0" fontId="72" fillId="40" borderId="86" xfId="0" applyFont="1" applyFill="1" applyBorder="1" applyAlignment="1">
      <alignment horizontal="center" vertical="top" wrapText="1"/>
    </xf>
    <xf numFmtId="0" fontId="72" fillId="40" borderId="86" xfId="433" applyFont="1" applyFill="1" applyBorder="1" applyAlignment="1">
      <alignment horizontal="centerContinuous" vertical="top" wrapText="1"/>
    </xf>
    <xf numFmtId="0" fontId="72" fillId="40" borderId="86" xfId="439" applyNumberFormat="1" applyFont="1" applyFill="1" applyBorder="1" applyAlignment="1" applyProtection="1">
      <alignment horizontal="left" vertical="top" wrapText="1"/>
    </xf>
    <xf numFmtId="0" fontId="70" fillId="45" borderId="80" xfId="72" applyNumberFormat="1" applyFont="1" applyFill="1" applyBorder="1" applyAlignment="1" applyProtection="1">
      <alignment horizontal="left"/>
    </xf>
    <xf numFmtId="164" fontId="68" fillId="41" borderId="95" xfId="439" applyNumberFormat="1" applyFont="1" applyFill="1" applyBorder="1" applyProtection="1"/>
    <xf numFmtId="164" fontId="68" fillId="41" borderId="96" xfId="439" applyNumberFormat="1" applyFont="1" applyFill="1" applyBorder="1" applyProtection="1"/>
    <xf numFmtId="165" fontId="68" fillId="41" borderId="96" xfId="438" applyNumberFormat="1" applyFont="1" applyFill="1" applyBorder="1" applyProtection="1"/>
    <xf numFmtId="170" fontId="68" fillId="41" borderId="96" xfId="438" applyNumberFormat="1" applyFont="1" applyFill="1" applyBorder="1" applyProtection="1"/>
    <xf numFmtId="9" fontId="70" fillId="49" borderId="96" xfId="92" applyFont="1" applyFill="1" applyBorder="1" applyAlignment="1" applyProtection="1">
      <alignment horizontal="center"/>
    </xf>
    <xf numFmtId="44" fontId="70" fillId="49" borderId="96" xfId="439" applyFont="1" applyFill="1" applyBorder="1" applyAlignment="1" applyProtection="1">
      <alignment horizontal="centerContinuous"/>
    </xf>
    <xf numFmtId="44" fontId="70" fillId="49" borderId="96" xfId="439" applyFont="1" applyFill="1" applyBorder="1" applyAlignment="1" applyProtection="1"/>
    <xf numFmtId="0" fontId="70" fillId="45" borderId="78" xfId="72" applyNumberFormat="1" applyFont="1" applyFill="1" applyBorder="1" applyAlignment="1" applyProtection="1">
      <alignment horizontal="left"/>
    </xf>
    <xf numFmtId="164" fontId="68" fillId="41" borderId="98" xfId="439" applyNumberFormat="1" applyFont="1" applyFill="1" applyBorder="1" applyProtection="1"/>
    <xf numFmtId="164" fontId="68" fillId="41" borderId="99" xfId="439" applyNumberFormat="1" applyFont="1" applyFill="1" applyBorder="1" applyProtection="1"/>
    <xf numFmtId="165" fontId="68" fillId="41" borderId="99" xfId="438" applyNumberFormat="1" applyFont="1" applyFill="1" applyBorder="1" applyProtection="1"/>
    <xf numFmtId="170" fontId="68" fillId="41" borderId="99" xfId="438" applyNumberFormat="1" applyFont="1" applyFill="1" applyBorder="1" applyProtection="1"/>
    <xf numFmtId="0" fontId="70" fillId="45" borderId="83" xfId="72" applyNumberFormat="1" applyFont="1" applyFill="1" applyBorder="1" applyAlignment="1" applyProtection="1">
      <alignment horizontal="left"/>
    </xf>
    <xf numFmtId="164" fontId="68" fillId="41" borderId="100" xfId="439" applyNumberFormat="1" applyFont="1" applyFill="1" applyBorder="1" applyProtection="1"/>
    <xf numFmtId="164" fontId="68" fillId="41" borderId="101" xfId="439" applyNumberFormat="1" applyFont="1" applyFill="1" applyBorder="1" applyProtection="1"/>
    <xf numFmtId="165" fontId="68" fillId="41" borderId="101" xfId="438" applyNumberFormat="1" applyFont="1" applyFill="1" applyBorder="1" applyProtection="1"/>
    <xf numFmtId="170" fontId="68" fillId="41" borderId="101" xfId="438" applyNumberFormat="1" applyFont="1" applyFill="1" applyBorder="1" applyProtection="1"/>
    <xf numFmtId="9" fontId="95" fillId="49" borderId="101" xfId="92" applyFont="1" applyFill="1" applyBorder="1" applyAlignment="1" applyProtection="1">
      <alignment horizontal="center"/>
    </xf>
    <xf numFmtId="44" fontId="70" fillId="49" borderId="113" xfId="439" applyFont="1" applyFill="1" applyBorder="1" applyAlignment="1" applyProtection="1">
      <alignment horizontal="centerContinuous"/>
    </xf>
    <xf numFmtId="0" fontId="70" fillId="45" borderId="84" xfId="0" applyFont="1" applyFill="1" applyBorder="1" applyAlignment="1">
      <alignment horizontal="right"/>
    </xf>
    <xf numFmtId="0" fontId="68" fillId="41" borderId="102" xfId="0" applyFont="1" applyFill="1" applyBorder="1" applyAlignment="1">
      <alignment horizontal="center"/>
    </xf>
    <xf numFmtId="164" fontId="68" fillId="41" borderId="103" xfId="0" applyNumberFormat="1" applyFont="1" applyFill="1" applyBorder="1"/>
    <xf numFmtId="165" fontId="68" fillId="41" borderId="103" xfId="438" applyNumberFormat="1" applyFont="1" applyFill="1" applyBorder="1" applyProtection="1"/>
    <xf numFmtId="170" fontId="68" fillId="41" borderId="103" xfId="438" applyNumberFormat="1" applyFont="1" applyFill="1" applyBorder="1" applyProtection="1"/>
    <xf numFmtId="9" fontId="70" fillId="49" borderId="103" xfId="92" applyFont="1" applyFill="1" applyBorder="1" applyAlignment="1" applyProtection="1">
      <alignment horizontal="center"/>
    </xf>
    <xf numFmtId="164" fontId="72" fillId="49" borderId="104" xfId="0" applyNumberFormat="1" applyFont="1" applyFill="1" applyBorder="1" applyAlignment="1">
      <alignment horizontal="centerContinuous"/>
    </xf>
    <xf numFmtId="44" fontId="70" fillId="49" borderId="112" xfId="439" applyFont="1" applyFill="1" applyBorder="1" applyAlignment="1" applyProtection="1"/>
    <xf numFmtId="164" fontId="70" fillId="45" borderId="0" xfId="0" applyNumberFormat="1" applyFont="1" applyFill="1"/>
    <xf numFmtId="165" fontId="70" fillId="45" borderId="0" xfId="438" applyNumberFormat="1" applyFont="1" applyFill="1" applyProtection="1"/>
    <xf numFmtId="169" fontId="70" fillId="45" borderId="0" xfId="0" applyNumberFormat="1" applyFont="1" applyFill="1"/>
    <xf numFmtId="169" fontId="70" fillId="45" borderId="75" xfId="0" applyNumberFormat="1" applyFont="1" applyFill="1" applyBorder="1"/>
    <xf numFmtId="164" fontId="70" fillId="45" borderId="76" xfId="0" applyNumberFormat="1" applyFont="1" applyFill="1" applyBorder="1"/>
    <xf numFmtId="0" fontId="110" fillId="45" borderId="0" xfId="0" applyFont="1" applyFill="1"/>
    <xf numFmtId="0" fontId="111" fillId="45" borderId="0" xfId="0" applyFont="1" applyFill="1"/>
    <xf numFmtId="0" fontId="70" fillId="0" borderId="23" xfId="72" applyNumberFormat="1" applyFont="1" applyFill="1" applyBorder="1" applyAlignment="1" applyProtection="1">
      <alignment horizontal="left"/>
    </xf>
    <xf numFmtId="44" fontId="70" fillId="49" borderId="115" xfId="439" applyFont="1" applyFill="1" applyBorder="1" applyAlignment="1" applyProtection="1"/>
    <xf numFmtId="44" fontId="70" fillId="49" borderId="103" xfId="439" applyFont="1" applyFill="1" applyBorder="1" applyAlignment="1" applyProtection="1"/>
    <xf numFmtId="0" fontId="70" fillId="0" borderId="117" xfId="72" applyNumberFormat="1" applyFont="1" applyFill="1" applyBorder="1" applyAlignment="1" applyProtection="1">
      <alignment horizontal="left"/>
    </xf>
    <xf numFmtId="164" fontId="68" fillId="41" borderId="118" xfId="439" applyNumberFormat="1" applyFont="1" applyFill="1" applyBorder="1" applyProtection="1"/>
    <xf numFmtId="164" fontId="68" fillId="41" borderId="119" xfId="439" applyNumberFormat="1" applyFont="1" applyFill="1" applyBorder="1" applyProtection="1"/>
    <xf numFmtId="165" fontId="68" fillId="41" borderId="119" xfId="438" applyNumberFormat="1" applyFont="1" applyFill="1" applyBorder="1" applyProtection="1"/>
    <xf numFmtId="170" fontId="68" fillId="41" borderId="119" xfId="438" applyNumberFormat="1" applyFont="1" applyFill="1" applyBorder="1" applyProtection="1"/>
    <xf numFmtId="9" fontId="70" fillId="49" borderId="119" xfId="92" applyFont="1" applyFill="1" applyBorder="1" applyAlignment="1" applyProtection="1">
      <alignment horizontal="center"/>
    </xf>
    <xf numFmtId="44" fontId="70" fillId="49" borderId="119" xfId="439" applyFont="1" applyFill="1" applyBorder="1" applyAlignment="1" applyProtection="1">
      <alignment horizontal="centerContinuous"/>
    </xf>
    <xf numFmtId="44" fontId="70" fillId="49" borderId="119" xfId="439" applyFont="1" applyFill="1" applyBorder="1" applyAlignment="1" applyProtection="1"/>
    <xf numFmtId="164" fontId="72" fillId="49" borderId="103" xfId="0" applyNumberFormat="1" applyFont="1" applyFill="1" applyBorder="1" applyAlignment="1">
      <alignment horizontal="centerContinuous"/>
    </xf>
    <xf numFmtId="164" fontId="71" fillId="0" borderId="0" xfId="439" applyNumberFormat="1" applyFont="1" applyProtection="1"/>
    <xf numFmtId="164" fontId="80" fillId="0" borderId="0" xfId="439" applyNumberFormat="1" applyFont="1" applyProtection="1"/>
    <xf numFmtId="0" fontId="76" fillId="0" borderId="0" xfId="431" applyFont="1" applyAlignment="1">
      <alignment horizontal="center" wrapText="1"/>
    </xf>
    <xf numFmtId="0" fontId="74" fillId="0" borderId="0" xfId="431" applyFont="1" applyAlignment="1">
      <alignment horizontal="center" wrapText="1"/>
    </xf>
    <xf numFmtId="0" fontId="80" fillId="0" borderId="0" xfId="431" applyFont="1"/>
    <xf numFmtId="42" fontId="68" fillId="0" borderId="0" xfId="0" applyNumberFormat="1" applyFont="1"/>
    <xf numFmtId="42" fontId="71" fillId="0" borderId="0" xfId="48" applyNumberFormat="1" applyFont="1" applyFill="1" applyBorder="1" applyProtection="1"/>
    <xf numFmtId="42" fontId="72" fillId="0" borderId="0" xfId="432" applyNumberFormat="1" applyFont="1" applyFill="1" applyBorder="1" applyProtection="1"/>
    <xf numFmtId="9" fontId="71" fillId="0" borderId="0" xfId="92" applyFont="1" applyAlignment="1" applyProtection="1">
      <alignment horizontal="right"/>
    </xf>
    <xf numFmtId="0" fontId="74" fillId="0" borderId="0" xfId="431" applyFont="1" applyAlignment="1">
      <alignment horizontal="center"/>
    </xf>
    <xf numFmtId="42" fontId="4" fillId="0" borderId="0" xfId="438" applyNumberFormat="1" applyFont="1" applyFill="1" applyBorder="1" applyProtection="1"/>
    <xf numFmtId="42" fontId="98" fillId="0" borderId="0" xfId="0" applyNumberFormat="1" applyFont="1"/>
    <xf numFmtId="42" fontId="3" fillId="0" borderId="0" xfId="438" applyNumberFormat="1" applyFont="1" applyFill="1" applyBorder="1" applyProtection="1"/>
    <xf numFmtId="165" fontId="72" fillId="0" borderId="0" xfId="438" applyNumberFormat="1" applyFont="1" applyFill="1" applyBorder="1" applyProtection="1"/>
    <xf numFmtId="0" fontId="2" fillId="0" borderId="0" xfId="442" applyAlignment="1">
      <alignment horizontal="center"/>
    </xf>
    <xf numFmtId="0" fontId="100" fillId="0" borderId="72" xfId="442" applyFont="1" applyBorder="1"/>
    <xf numFmtId="0" fontId="100" fillId="0" borderId="0" xfId="442" applyFont="1" applyAlignment="1">
      <alignment horizontal="left" wrapText="1"/>
    </xf>
    <xf numFmtId="0" fontId="100" fillId="0" borderId="0" xfId="442" applyFont="1"/>
    <xf numFmtId="42" fontId="2" fillId="45" borderId="46" xfId="443" applyNumberFormat="1" applyFont="1" applyFill="1" applyBorder="1" applyProtection="1"/>
    <xf numFmtId="42" fontId="2" fillId="29" borderId="46" xfId="443" applyNumberFormat="1" applyFont="1" applyFill="1" applyBorder="1" applyProtection="1"/>
    <xf numFmtId="0" fontId="0" fillId="0" borderId="46" xfId="444" applyFont="1" applyBorder="1" applyAlignment="1">
      <alignment horizontal="center"/>
    </xf>
    <xf numFmtId="164" fontId="0" fillId="0" borderId="0" xfId="445" applyNumberFormat="1" applyFont="1" applyProtection="1"/>
    <xf numFmtId="42" fontId="2" fillId="0" borderId="46" xfId="443" applyNumberFormat="1" applyFont="1" applyBorder="1" applyProtection="1"/>
    <xf numFmtId="42" fontId="101" fillId="0" borderId="46" xfId="72" applyNumberFormat="1" applyFont="1" applyFill="1" applyBorder="1" applyAlignment="1" applyProtection="1">
      <alignment horizontal="center"/>
    </xf>
    <xf numFmtId="42" fontId="101" fillId="29" borderId="46" xfId="443" applyNumberFormat="1" applyFont="1" applyFill="1" applyBorder="1" applyAlignment="1" applyProtection="1">
      <alignment horizontal="center"/>
    </xf>
    <xf numFmtId="42" fontId="2" fillId="0" borderId="46" xfId="443" applyNumberFormat="1" applyFont="1" applyFill="1" applyBorder="1" applyProtection="1"/>
    <xf numFmtId="42" fontId="101" fillId="29" borderId="46" xfId="443" applyNumberFormat="1" applyFont="1" applyFill="1" applyBorder="1" applyProtection="1"/>
    <xf numFmtId="6" fontId="2" fillId="0" borderId="0" xfId="442" applyNumberFormat="1" applyAlignment="1">
      <alignment horizontal="right"/>
    </xf>
    <xf numFmtId="0" fontId="2" fillId="0" borderId="0" xfId="442" applyAlignment="1">
      <alignment horizontal="right"/>
    </xf>
    <xf numFmtId="0" fontId="2" fillId="46" borderId="0" xfId="442" applyFill="1"/>
    <xf numFmtId="0" fontId="2" fillId="0" borderId="0" xfId="442" applyAlignment="1">
      <alignment horizontal="left"/>
    </xf>
    <xf numFmtId="0" fontId="2" fillId="47" borderId="0" xfId="442" applyFill="1"/>
    <xf numFmtId="166" fontId="70" fillId="24" borderId="0" xfId="75" applyFont="1" applyFill="1" applyAlignment="1" applyProtection="1">
      <alignment vertical="top"/>
    </xf>
    <xf numFmtId="0" fontId="71" fillId="0" borderId="0" xfId="433" applyFont="1" applyAlignment="1">
      <alignment horizontal="center"/>
    </xf>
    <xf numFmtId="9" fontId="68" fillId="0" borderId="30" xfId="434" applyFont="1" applyFill="1" applyBorder="1" applyAlignment="1" applyProtection="1">
      <alignment horizontal="center" vertical="center"/>
    </xf>
    <xf numFmtId="9" fontId="68" fillId="0" borderId="31" xfId="434" applyFont="1" applyFill="1" applyBorder="1" applyAlignment="1" applyProtection="1">
      <alignment horizontal="center" vertical="center"/>
    </xf>
    <xf numFmtId="0" fontId="72" fillId="0" borderId="36" xfId="433" applyFont="1" applyBorder="1"/>
    <xf numFmtId="0" fontId="72" fillId="0" borderId="0" xfId="433" applyFont="1" applyAlignment="1">
      <alignment horizontal="right"/>
    </xf>
    <xf numFmtId="9" fontId="68" fillId="37" borderId="67" xfId="434" applyFont="1" applyFill="1" applyBorder="1" applyAlignment="1" applyProtection="1">
      <alignment horizontal="center" vertical="center"/>
    </xf>
    <xf numFmtId="9" fontId="68" fillId="37" borderId="62" xfId="434" applyFont="1" applyFill="1" applyBorder="1" applyAlignment="1" applyProtection="1">
      <alignment horizontal="center" vertical="center"/>
    </xf>
    <xf numFmtId="9" fontId="70" fillId="0" borderId="32" xfId="74" applyFont="1" applyFill="1" applyBorder="1" applyProtection="1"/>
    <xf numFmtId="10" fontId="68" fillId="0" borderId="69" xfId="92" applyNumberFormat="1" applyFont="1" applyFill="1" applyBorder="1" applyAlignment="1" applyProtection="1">
      <alignment horizontal="center" vertical="center"/>
    </xf>
    <xf numFmtId="10" fontId="68" fillId="0" borderId="33" xfId="92" applyNumberFormat="1" applyFont="1" applyFill="1" applyBorder="1" applyAlignment="1" applyProtection="1">
      <alignment horizontal="center" vertical="center"/>
    </xf>
    <xf numFmtId="10" fontId="81" fillId="0" borderId="34" xfId="434" applyNumberFormat="1" applyFont="1" applyFill="1" applyBorder="1" applyAlignment="1" applyProtection="1">
      <alignment horizontal="right"/>
    </xf>
    <xf numFmtId="0" fontId="70" fillId="40" borderId="48" xfId="433" applyFont="1" applyFill="1" applyBorder="1" applyAlignment="1">
      <alignment horizontal="center" vertical="top" wrapText="1"/>
    </xf>
    <xf numFmtId="0" fontId="70" fillId="40" borderId="50" xfId="433" applyFont="1" applyFill="1" applyBorder="1" applyAlignment="1">
      <alignment horizontal="centerContinuous" vertical="top"/>
    </xf>
    <xf numFmtId="0" fontId="68" fillId="40" borderId="31" xfId="433" applyFont="1" applyFill="1" applyBorder="1" applyAlignment="1">
      <alignment horizontal="centerContinuous" vertical="top"/>
    </xf>
    <xf numFmtId="0" fontId="68" fillId="40" borderId="24" xfId="433" applyFont="1" applyFill="1" applyBorder="1" applyAlignment="1">
      <alignment horizontal="centerContinuous" vertical="top"/>
    </xf>
    <xf numFmtId="0" fontId="76" fillId="40" borderId="49" xfId="433" applyFont="1" applyFill="1" applyBorder="1" applyAlignment="1">
      <alignment horizontal="center" vertical="top" wrapText="1"/>
    </xf>
    <xf numFmtId="9" fontId="68" fillId="40" borderId="46" xfId="74" applyFont="1" applyFill="1" applyBorder="1" applyAlignment="1" applyProtection="1">
      <alignment horizontal="center" vertical="top" wrapText="1"/>
    </xf>
    <xf numFmtId="0" fontId="70" fillId="40" borderId="38" xfId="433" applyFont="1" applyFill="1" applyBorder="1" applyAlignment="1">
      <alignment horizontal="center" vertical="top" wrapText="1"/>
    </xf>
    <xf numFmtId="167" fontId="70" fillId="40" borderId="46" xfId="50" applyNumberFormat="1" applyFont="1" applyFill="1" applyBorder="1" applyAlignment="1">
      <alignment horizontal="center" vertical="top"/>
    </xf>
    <xf numFmtId="0" fontId="68" fillId="40" borderId="46" xfId="433" applyFont="1" applyFill="1" applyBorder="1" applyAlignment="1">
      <alignment horizontal="center" vertical="top" wrapText="1"/>
    </xf>
    <xf numFmtId="0" fontId="68" fillId="40" borderId="52" xfId="433" applyFont="1" applyFill="1" applyBorder="1" applyAlignment="1">
      <alignment horizontal="center" vertical="top" wrapText="1"/>
    </xf>
    <xf numFmtId="0" fontId="68" fillId="0" borderId="38" xfId="433" applyFont="1" applyBorder="1" applyAlignment="1">
      <alignment horizontal="center"/>
    </xf>
    <xf numFmtId="165" fontId="70" fillId="0" borderId="23" xfId="72" applyNumberFormat="1" applyFont="1" applyFill="1" applyBorder="1" applyAlignment="1" applyProtection="1">
      <alignment horizontal="left"/>
    </xf>
    <xf numFmtId="37" fontId="68" fillId="37" borderId="46" xfId="72" applyNumberFormat="1" applyFont="1" applyFill="1" applyBorder="1" applyAlignment="1" applyProtection="1">
      <alignment horizontal="center"/>
    </xf>
    <xf numFmtId="37" fontId="80" fillId="0" borderId="46" xfId="72" applyNumberFormat="1" applyFont="1" applyBorder="1" applyAlignment="1" applyProtection="1">
      <alignment horizontal="center"/>
    </xf>
    <xf numFmtId="0" fontId="68" fillId="0" borderId="53" xfId="433" applyFont="1" applyBorder="1" applyAlignment="1">
      <alignment horizontal="center"/>
    </xf>
    <xf numFmtId="0" fontId="68" fillId="27" borderId="53" xfId="433" applyFont="1" applyFill="1" applyBorder="1" applyAlignment="1">
      <alignment horizontal="center"/>
    </xf>
    <xf numFmtId="165" fontId="70" fillId="27" borderId="23" xfId="72" applyNumberFormat="1" applyFont="1" applyFill="1" applyBorder="1" applyAlignment="1" applyProtection="1">
      <alignment horizontal="left"/>
    </xf>
    <xf numFmtId="37" fontId="68" fillId="27" borderId="46" xfId="72" applyNumberFormat="1" applyFont="1" applyFill="1" applyBorder="1" applyAlignment="1" applyProtection="1">
      <alignment horizontal="center"/>
    </xf>
    <xf numFmtId="37" fontId="80" fillId="27" borderId="46" xfId="72" applyNumberFormat="1" applyFont="1" applyFill="1" applyBorder="1" applyAlignment="1" applyProtection="1">
      <alignment horizontal="center"/>
    </xf>
    <xf numFmtId="0" fontId="72" fillId="0" borderId="23" xfId="431" applyFont="1" applyBorder="1"/>
    <xf numFmtId="165" fontId="70" fillId="0" borderId="62" xfId="72" applyNumberFormat="1" applyFont="1" applyFill="1" applyBorder="1" applyAlignment="1" applyProtection="1">
      <alignment horizontal="left"/>
    </xf>
    <xf numFmtId="165" fontId="70" fillId="0" borderId="0" xfId="72" applyNumberFormat="1" applyFont="1" applyFill="1" applyBorder="1" applyAlignment="1" applyProtection="1">
      <alignment horizontal="left"/>
    </xf>
    <xf numFmtId="0" fontId="68" fillId="0" borderId="51" xfId="433" applyFont="1" applyBorder="1" applyAlignment="1">
      <alignment horizontal="center"/>
    </xf>
    <xf numFmtId="165" fontId="70" fillId="0" borderId="45" xfId="72" applyNumberFormat="1" applyFont="1" applyFill="1" applyBorder="1" applyAlignment="1" applyProtection="1">
      <alignment horizontal="left"/>
    </xf>
    <xf numFmtId="37" fontId="80" fillId="0" borderId="47" xfId="72" applyNumberFormat="1" applyFont="1" applyBorder="1" applyAlignment="1" applyProtection="1">
      <alignment horizontal="center"/>
    </xf>
    <xf numFmtId="0" fontId="70" fillId="29" borderId="25" xfId="433" applyFont="1" applyFill="1" applyBorder="1" applyAlignment="1">
      <alignment horizontal="center"/>
    </xf>
    <xf numFmtId="165" fontId="70" fillId="29" borderId="25" xfId="72" applyNumberFormat="1" applyFont="1" applyFill="1" applyBorder="1" applyAlignment="1" applyProtection="1">
      <alignment horizontal="left"/>
    </xf>
    <xf numFmtId="37" fontId="70" fillId="29" borderId="25" xfId="432" applyNumberFormat="1" applyFont="1" applyFill="1" applyBorder="1" applyAlignment="1" applyProtection="1">
      <alignment horizontal="center"/>
    </xf>
    <xf numFmtId="165" fontId="71" fillId="0" borderId="0" xfId="433" applyNumberFormat="1" applyFont="1"/>
    <xf numFmtId="0" fontId="114" fillId="41" borderId="0" xfId="0" applyFont="1" applyFill="1" applyAlignment="1">
      <alignment horizontal="center" vertical="center" wrapText="1"/>
    </xf>
    <xf numFmtId="0" fontId="112" fillId="45" borderId="0" xfId="0" applyFont="1" applyFill="1" applyAlignment="1">
      <alignment horizontal="center" vertical="center"/>
    </xf>
    <xf numFmtId="0" fontId="76" fillId="27" borderId="82" xfId="0" applyFont="1" applyFill="1" applyBorder="1" applyAlignment="1">
      <alignment horizontal="center"/>
    </xf>
    <xf numFmtId="0" fontId="76" fillId="27" borderId="81" xfId="0" applyFont="1" applyFill="1" applyBorder="1" applyAlignment="1">
      <alignment horizontal="center"/>
    </xf>
    <xf numFmtId="0" fontId="76" fillId="27" borderId="89" xfId="0" applyFont="1" applyFill="1" applyBorder="1" applyAlignment="1">
      <alignment horizontal="center"/>
    </xf>
    <xf numFmtId="168" fontId="113" fillId="32" borderId="90" xfId="76" applyNumberFormat="1" applyFont="1" applyFill="1" applyBorder="1" applyAlignment="1">
      <alignment horizontal="center" vertical="top" wrapText="1"/>
    </xf>
    <xf numFmtId="168" fontId="113" fillId="32" borderId="106" xfId="76" applyNumberFormat="1" applyFont="1" applyFill="1" applyBorder="1" applyAlignment="1">
      <alignment horizontal="center" vertical="top" wrapText="1"/>
    </xf>
    <xf numFmtId="0" fontId="113" fillId="51" borderId="105" xfId="0" applyFont="1" applyFill="1" applyBorder="1" applyAlignment="1">
      <alignment horizontal="center"/>
    </xf>
    <xf numFmtId="0" fontId="113" fillId="51" borderId="90" xfId="0" applyFont="1" applyFill="1" applyBorder="1" applyAlignment="1">
      <alignment horizontal="center"/>
    </xf>
    <xf numFmtId="0" fontId="76" fillId="51" borderId="90" xfId="0" applyFont="1" applyFill="1" applyBorder="1" applyAlignment="1">
      <alignment horizontal="center"/>
    </xf>
    <xf numFmtId="168" fontId="76" fillId="32" borderId="90" xfId="76" applyNumberFormat="1" applyFont="1" applyFill="1" applyBorder="1" applyAlignment="1">
      <alignment horizontal="center" vertical="top" wrapText="1"/>
    </xf>
    <xf numFmtId="0" fontId="76" fillId="25" borderId="0" xfId="433" applyFont="1" applyFill="1" applyAlignment="1">
      <alignment horizontal="center"/>
    </xf>
    <xf numFmtId="0" fontId="72" fillId="0" borderId="23" xfId="433" applyFont="1" applyBorder="1" applyAlignment="1">
      <alignment horizontal="left"/>
    </xf>
    <xf numFmtId="0" fontId="72" fillId="0" borderId="62" xfId="433" applyFont="1" applyBorder="1" applyAlignment="1">
      <alignment horizontal="left"/>
    </xf>
    <xf numFmtId="0" fontId="72" fillId="0" borderId="59" xfId="433" applyFont="1" applyBorder="1" applyAlignment="1">
      <alignment horizontal="left"/>
    </xf>
    <xf numFmtId="167" fontId="76" fillId="39" borderId="54" xfId="50" applyNumberFormat="1" applyFont="1" applyFill="1" applyBorder="1" applyAlignment="1">
      <alignment horizontal="center" vertical="center"/>
    </xf>
    <xf numFmtId="167" fontId="76" fillId="39" borderId="66" xfId="50" applyNumberFormat="1" applyFont="1" applyFill="1" applyBorder="1" applyAlignment="1">
      <alignment horizontal="center" vertical="center"/>
    </xf>
    <xf numFmtId="167" fontId="76" fillId="39" borderId="56" xfId="50" applyNumberFormat="1" applyFont="1" applyFill="1" applyBorder="1" applyAlignment="1">
      <alignment horizontal="center" vertical="center"/>
    </xf>
    <xf numFmtId="0" fontId="76" fillId="39" borderId="55" xfId="433" applyFont="1" applyFill="1" applyBorder="1" applyAlignment="1">
      <alignment horizontal="center" vertical="center" wrapText="1"/>
    </xf>
    <xf numFmtId="0" fontId="76" fillId="39" borderId="63" xfId="433" applyFont="1" applyFill="1" applyBorder="1" applyAlignment="1">
      <alignment horizontal="center" vertical="center" wrapText="1"/>
    </xf>
    <xf numFmtId="0" fontId="76" fillId="39" borderId="57" xfId="433" applyFont="1" applyFill="1" applyBorder="1" applyAlignment="1">
      <alignment horizontal="center" vertical="center" wrapText="1"/>
    </xf>
    <xf numFmtId="9" fontId="70" fillId="40" borderId="46" xfId="434" applyFont="1" applyFill="1" applyBorder="1" applyAlignment="1" applyProtection="1">
      <alignment horizontal="center" vertical="top" wrapText="1"/>
    </xf>
    <xf numFmtId="9" fontId="70" fillId="40" borderId="52" xfId="434" applyFont="1" applyFill="1" applyBorder="1" applyAlignment="1" applyProtection="1">
      <alignment horizontal="center" vertical="top" wrapText="1"/>
    </xf>
  </cellXfs>
  <cellStyles count="448">
    <cellStyle name="20% - Accent1" xfId="1" builtinId="30" customBuiltin="1"/>
    <cellStyle name="20% - Accent1 2" xfId="167" xr:uid="{00000000-0005-0000-0000-000001000000}"/>
    <cellStyle name="20% - Accent2" xfId="2" builtinId="34" customBuiltin="1"/>
    <cellStyle name="20% - Accent2 2" xfId="168" xr:uid="{00000000-0005-0000-0000-000003000000}"/>
    <cellStyle name="20% - Accent3" xfId="3" builtinId="38" customBuiltin="1"/>
    <cellStyle name="20% - Accent3 2" xfId="169" xr:uid="{00000000-0005-0000-0000-000005000000}"/>
    <cellStyle name="20% - Accent4" xfId="4" builtinId="42" customBuiltin="1"/>
    <cellStyle name="20% - Accent4 2" xfId="170" xr:uid="{00000000-0005-0000-0000-000007000000}"/>
    <cellStyle name="20% - Accent5" xfId="5" builtinId="46" customBuiltin="1"/>
    <cellStyle name="20% - Accent5 2" xfId="171" xr:uid="{00000000-0005-0000-0000-000009000000}"/>
    <cellStyle name="20% - Accent6" xfId="6" builtinId="50" customBuiltin="1"/>
    <cellStyle name="20% - Accent6 2" xfId="172" xr:uid="{00000000-0005-0000-0000-00000B000000}"/>
    <cellStyle name="40% - Accent1" xfId="7" builtinId="31" customBuiltin="1"/>
    <cellStyle name="40% - Accent1 2" xfId="173" xr:uid="{00000000-0005-0000-0000-00000D000000}"/>
    <cellStyle name="40% - Accent2" xfId="8" builtinId="35" customBuiltin="1"/>
    <cellStyle name="40% - Accent2 2" xfId="174" xr:uid="{00000000-0005-0000-0000-00000F000000}"/>
    <cellStyle name="40% - Accent3" xfId="9" builtinId="39" customBuiltin="1"/>
    <cellStyle name="40% - Accent3 2" xfId="175" xr:uid="{00000000-0005-0000-0000-000011000000}"/>
    <cellStyle name="40% - Accent4" xfId="10" builtinId="43" customBuiltin="1"/>
    <cellStyle name="40% - Accent4 2" xfId="176" xr:uid="{00000000-0005-0000-0000-000013000000}"/>
    <cellStyle name="40% - Accent5" xfId="11" builtinId="47" customBuiltin="1"/>
    <cellStyle name="40% - Accent5 2" xfId="177" xr:uid="{00000000-0005-0000-0000-000015000000}"/>
    <cellStyle name="40% - Accent6" xfId="12" builtinId="51" customBuiltin="1"/>
    <cellStyle name="40% - Accent6 2" xfId="178" xr:uid="{00000000-0005-0000-0000-000017000000}"/>
    <cellStyle name="60% - Accent1" xfId="13" builtinId="32" customBuiltin="1"/>
    <cellStyle name="60% - Accent1 2" xfId="179" xr:uid="{00000000-0005-0000-0000-000019000000}"/>
    <cellStyle name="60% - Accent2" xfId="14" builtinId="36" customBuiltin="1"/>
    <cellStyle name="60% - Accent2 2" xfId="180" xr:uid="{00000000-0005-0000-0000-00001B000000}"/>
    <cellStyle name="60% - Accent3" xfId="15" builtinId="40" customBuiltin="1"/>
    <cellStyle name="60% - Accent3 2" xfId="181" xr:uid="{00000000-0005-0000-0000-00001D000000}"/>
    <cellStyle name="60% - Accent4" xfId="16" builtinId="44" customBuiltin="1"/>
    <cellStyle name="60% - Accent4 2" xfId="182" xr:uid="{00000000-0005-0000-0000-00001F000000}"/>
    <cellStyle name="60% - Accent5" xfId="17" builtinId="48" customBuiltin="1"/>
    <cellStyle name="60% - Accent5 2" xfId="183" xr:uid="{00000000-0005-0000-0000-000021000000}"/>
    <cellStyle name="60% - Accent6" xfId="18" builtinId="52" customBuiltin="1"/>
    <cellStyle name="60% - Accent6 2" xfId="184" xr:uid="{00000000-0005-0000-0000-000023000000}"/>
    <cellStyle name="Accent1" xfId="19" builtinId="29" customBuiltin="1"/>
    <cellStyle name="Accent1 2" xfId="185" xr:uid="{00000000-0005-0000-0000-000025000000}"/>
    <cellStyle name="Accent2" xfId="20" builtinId="33" customBuiltin="1"/>
    <cellStyle name="Accent2 2" xfId="186" xr:uid="{00000000-0005-0000-0000-000027000000}"/>
    <cellStyle name="Accent3" xfId="21" builtinId="37" customBuiltin="1"/>
    <cellStyle name="Accent3 2" xfId="187" xr:uid="{00000000-0005-0000-0000-000029000000}"/>
    <cellStyle name="Accent4" xfId="22" builtinId="41" customBuiltin="1"/>
    <cellStyle name="Accent4 2" xfId="188" xr:uid="{00000000-0005-0000-0000-00002B000000}"/>
    <cellStyle name="Accent5" xfId="23" builtinId="45" customBuiltin="1"/>
    <cellStyle name="Accent5 2" xfId="189" xr:uid="{00000000-0005-0000-0000-00002D000000}"/>
    <cellStyle name="Accent6" xfId="24" builtinId="49" customBuiltin="1"/>
    <cellStyle name="Accent6 2" xfId="190" xr:uid="{00000000-0005-0000-0000-00002F000000}"/>
    <cellStyle name="Bad" xfId="25" builtinId="27" customBuiltin="1"/>
    <cellStyle name="Bad 2" xfId="191" xr:uid="{00000000-0005-0000-0000-000031000000}"/>
    <cellStyle name="Calculation" xfId="26" builtinId="22" customBuiltin="1"/>
    <cellStyle name="Calculation 2" xfId="83" xr:uid="{00000000-0005-0000-0000-000033000000}"/>
    <cellStyle name="Calculation 2 2" xfId="227" xr:uid="{00000000-0005-0000-0000-000034000000}"/>
    <cellStyle name="Calculation 2 3" xfId="192" xr:uid="{00000000-0005-0000-0000-000035000000}"/>
    <cellStyle name="Calculation 3" xfId="120" xr:uid="{00000000-0005-0000-0000-000036000000}"/>
    <cellStyle name="Calculation 3 2" xfId="228" xr:uid="{00000000-0005-0000-0000-000037000000}"/>
    <cellStyle name="Calculation 3 3" xfId="214" xr:uid="{00000000-0005-0000-0000-000038000000}"/>
    <cellStyle name="Calculation 4" xfId="216" xr:uid="{00000000-0005-0000-0000-000039000000}"/>
    <cellStyle name="Calculation 4 2" xfId="229" xr:uid="{00000000-0005-0000-0000-00003A000000}"/>
    <cellStyle name="Calculation 5" xfId="230" xr:uid="{00000000-0005-0000-0000-00003B000000}"/>
    <cellStyle name="Calculation 5 2" xfId="231" xr:uid="{00000000-0005-0000-0000-00003C000000}"/>
    <cellStyle name="Calculation 6" xfId="232" xr:uid="{00000000-0005-0000-0000-00003D000000}"/>
    <cellStyle name="Calculation 6 2" xfId="233" xr:uid="{00000000-0005-0000-0000-00003E000000}"/>
    <cellStyle name="Calculation 7" xfId="234" xr:uid="{00000000-0005-0000-0000-00003F000000}"/>
    <cellStyle name="Calculation 7 2" xfId="235" xr:uid="{00000000-0005-0000-0000-000040000000}"/>
    <cellStyle name="Calculation 8" xfId="236" xr:uid="{00000000-0005-0000-0000-000041000000}"/>
    <cellStyle name="Calculation 8 2" xfId="237" xr:uid="{00000000-0005-0000-0000-000042000000}"/>
    <cellStyle name="Calculation 9" xfId="421" xr:uid="{42CC126F-E86F-43B4-9D1D-CA497E208B71}"/>
    <cellStyle name="Check Cell" xfId="27" builtinId="23" customBuiltin="1"/>
    <cellStyle name="Check Cell 2" xfId="193" xr:uid="{00000000-0005-0000-0000-000044000000}"/>
    <cellStyle name="Comma" xfId="438" builtinId="3"/>
    <cellStyle name="Comma 10" xfId="161" xr:uid="{00000000-0005-0000-0000-000046000000}"/>
    <cellStyle name="Comma 11" xfId="164" xr:uid="{00000000-0005-0000-0000-000047000000}"/>
    <cellStyle name="Comma 11 2" xfId="437" xr:uid="{A07E2F4F-1B84-46CE-AB28-D9234A87658B}"/>
    <cellStyle name="Comma 12" xfId="441" xr:uid="{EFCE67E1-583E-485E-87A1-E2334C2E1454}"/>
    <cellStyle name="Comma 13" xfId="443" xr:uid="{3E9DE9BB-2CA3-4CFF-BED7-3F1EE4338A99}"/>
    <cellStyle name="Comma 2" xfId="44" xr:uid="{00000000-0005-0000-0000-000048000000}"/>
    <cellStyle name="Comma 2 10" xfId="156" xr:uid="{00000000-0005-0000-0000-000049000000}"/>
    <cellStyle name="Comma 2 10 2" xfId="239" xr:uid="{00000000-0005-0000-0000-00004A000000}"/>
    <cellStyle name="Comma 2 10 3" xfId="238" xr:uid="{00000000-0005-0000-0000-00004B000000}"/>
    <cellStyle name="Comma 2 11" xfId="240" xr:uid="{00000000-0005-0000-0000-00004C000000}"/>
    <cellStyle name="Comma 2 12" xfId="209" xr:uid="{00000000-0005-0000-0000-00004D000000}"/>
    <cellStyle name="Comma 2 13" xfId="410" xr:uid="{00000000-0005-0000-0000-00004E000000}"/>
    <cellStyle name="Comma 2 14" xfId="427" xr:uid="{F80DED12-E476-41BD-AFE2-8449A6D1F951}"/>
    <cellStyle name="Comma 2 2" xfId="48" xr:uid="{00000000-0005-0000-0000-00004F000000}"/>
    <cellStyle name="Comma 2 2 2" xfId="72" xr:uid="{00000000-0005-0000-0000-000050000000}"/>
    <cellStyle name="Comma 2 2 2 2" xfId="59" xr:uid="{00000000-0005-0000-0000-000051000000}"/>
    <cellStyle name="Comma 2 3" xfId="62" xr:uid="{00000000-0005-0000-0000-000052000000}"/>
    <cellStyle name="Comma 2 3 2" xfId="419" xr:uid="{1487B22C-DEBC-410E-829E-E3234BAC9159}"/>
    <cellStyle name="Comma 2 4" xfId="89" xr:uid="{00000000-0005-0000-0000-000053000000}"/>
    <cellStyle name="Comma 2 4 2" xfId="242" xr:uid="{00000000-0005-0000-0000-000054000000}"/>
    <cellStyle name="Comma 2 4 3" xfId="241" xr:uid="{00000000-0005-0000-0000-000055000000}"/>
    <cellStyle name="Comma 2 5" xfId="98" xr:uid="{00000000-0005-0000-0000-000056000000}"/>
    <cellStyle name="Comma 2 5 2" xfId="244" xr:uid="{00000000-0005-0000-0000-000057000000}"/>
    <cellStyle name="Comma 2 5 3" xfId="243" xr:uid="{00000000-0005-0000-0000-000058000000}"/>
    <cellStyle name="Comma 2 6" xfId="106" xr:uid="{00000000-0005-0000-0000-000059000000}"/>
    <cellStyle name="Comma 2 6 2" xfId="246" xr:uid="{00000000-0005-0000-0000-00005A000000}"/>
    <cellStyle name="Comma 2 6 3" xfId="245" xr:uid="{00000000-0005-0000-0000-00005B000000}"/>
    <cellStyle name="Comma 2 7" xfId="119" xr:uid="{00000000-0005-0000-0000-00005C000000}"/>
    <cellStyle name="Comma 2 7 2" xfId="248" xr:uid="{00000000-0005-0000-0000-00005D000000}"/>
    <cellStyle name="Comma 2 7 3" xfId="247" xr:uid="{00000000-0005-0000-0000-00005E000000}"/>
    <cellStyle name="Comma 2 8" xfId="126" xr:uid="{00000000-0005-0000-0000-00005F000000}"/>
    <cellStyle name="Comma 2 8 2" xfId="250" xr:uid="{00000000-0005-0000-0000-000060000000}"/>
    <cellStyle name="Comma 2 8 3" xfId="249" xr:uid="{00000000-0005-0000-0000-000061000000}"/>
    <cellStyle name="Comma 2 9" xfId="130" xr:uid="{00000000-0005-0000-0000-000062000000}"/>
    <cellStyle name="Comma 2 9 2" xfId="252" xr:uid="{00000000-0005-0000-0000-000063000000}"/>
    <cellStyle name="Comma 2 9 3" xfId="251" xr:uid="{00000000-0005-0000-0000-000064000000}"/>
    <cellStyle name="Comma 3" xfId="52" xr:uid="{00000000-0005-0000-0000-000065000000}"/>
    <cellStyle name="Comma 3 2" xfId="58" xr:uid="{00000000-0005-0000-0000-000066000000}"/>
    <cellStyle name="Comma 3 2 2" xfId="254" xr:uid="{00000000-0005-0000-0000-000067000000}"/>
    <cellStyle name="Comma 3 2 3" xfId="253" xr:uid="{00000000-0005-0000-0000-000068000000}"/>
    <cellStyle name="Comma 3 3" xfId="255" xr:uid="{00000000-0005-0000-0000-000069000000}"/>
    <cellStyle name="Comma 3 4" xfId="416" xr:uid="{F8E906FD-881C-438F-BE38-FA3498D3C872}"/>
    <cellStyle name="Comma 3 5" xfId="420" xr:uid="{C751E865-1E77-4C44-B53E-E87EA0A3D9AD}"/>
    <cellStyle name="Comma 4" xfId="70" xr:uid="{00000000-0005-0000-0000-00006A000000}"/>
    <cellStyle name="Comma 4 2" xfId="257" xr:uid="{00000000-0005-0000-0000-00006B000000}"/>
    <cellStyle name="Comma 4 2 2" xfId="258" xr:uid="{00000000-0005-0000-0000-00006C000000}"/>
    <cellStyle name="Comma 4 2 2 2" xfId="259" xr:uid="{00000000-0005-0000-0000-00006D000000}"/>
    <cellStyle name="Comma 4 2 3" xfId="260" xr:uid="{00000000-0005-0000-0000-00006E000000}"/>
    <cellStyle name="Comma 4 3" xfId="261" xr:uid="{00000000-0005-0000-0000-00006F000000}"/>
    <cellStyle name="Comma 4 3 2" xfId="262" xr:uid="{00000000-0005-0000-0000-000070000000}"/>
    <cellStyle name="Comma 4 4" xfId="102" xr:uid="{00000000-0005-0000-0000-000071000000}"/>
    <cellStyle name="Comma 4 4 2" xfId="135" xr:uid="{00000000-0005-0000-0000-000072000000}"/>
    <cellStyle name="Comma 4 4 3" xfId="148" xr:uid="{00000000-0005-0000-0000-000073000000}"/>
    <cellStyle name="Comma 4 4 4" xfId="152" xr:uid="{00000000-0005-0000-0000-000074000000}"/>
    <cellStyle name="Comma 4 4 5" xfId="223" xr:uid="{00000000-0005-0000-0000-000075000000}"/>
    <cellStyle name="Comma 4 5" xfId="256" xr:uid="{00000000-0005-0000-0000-000076000000}"/>
    <cellStyle name="Comma 4 6" xfId="432" xr:uid="{A37D697F-D958-495C-8417-995ECA756CFC}"/>
    <cellStyle name="Comma 5" xfId="94" xr:uid="{00000000-0005-0000-0000-000077000000}"/>
    <cellStyle name="Comma 5 2" xfId="264" xr:uid="{00000000-0005-0000-0000-000078000000}"/>
    <cellStyle name="Comma 5 2 2" xfId="265" xr:uid="{00000000-0005-0000-0000-000079000000}"/>
    <cellStyle name="Comma 5 3" xfId="266" xr:uid="{00000000-0005-0000-0000-00007A000000}"/>
    <cellStyle name="Comma 5 4" xfId="76" xr:uid="{00000000-0005-0000-0000-00007B000000}"/>
    <cellStyle name="Comma 5 5" xfId="263" xr:uid="{00000000-0005-0000-0000-00007C000000}"/>
    <cellStyle name="Comma 6" xfId="139" xr:uid="{00000000-0005-0000-0000-00007D000000}"/>
    <cellStyle name="Comma 6 2" xfId="267" xr:uid="{00000000-0005-0000-0000-00007E000000}"/>
    <cellStyle name="Comma 7" xfId="75" xr:uid="{00000000-0005-0000-0000-00007F000000}"/>
    <cellStyle name="Comma 8" xfId="142" xr:uid="{00000000-0005-0000-0000-000080000000}"/>
    <cellStyle name="Comma 9" xfId="146" xr:uid="{00000000-0005-0000-0000-000081000000}"/>
    <cellStyle name="Currency" xfId="439" builtinId="4"/>
    <cellStyle name="Currency 10" xfId="268" xr:uid="{00000000-0005-0000-0000-000083000000}"/>
    <cellStyle name="Currency 10 2" xfId="269" xr:uid="{00000000-0005-0000-0000-000084000000}"/>
    <cellStyle name="Currency 10 2 2" xfId="270" xr:uid="{00000000-0005-0000-0000-000085000000}"/>
    <cellStyle name="Currency 10 3" xfId="271" xr:uid="{00000000-0005-0000-0000-000086000000}"/>
    <cellStyle name="Currency 11" xfId="445" xr:uid="{F66501B6-B515-453A-A4DF-569F5A39D802}"/>
    <cellStyle name="Currency 2" xfId="49" xr:uid="{00000000-0005-0000-0000-000087000000}"/>
    <cellStyle name="Currency 2 2 2" xfId="100" xr:uid="{00000000-0005-0000-0000-000088000000}"/>
    <cellStyle name="Currency 3" xfId="53" xr:uid="{00000000-0005-0000-0000-000089000000}"/>
    <cellStyle name="Currency 3 2" xfId="77" xr:uid="{00000000-0005-0000-0000-00008A000000}"/>
    <cellStyle name="Currency 3 2 2" xfId="273" xr:uid="{00000000-0005-0000-0000-00008B000000}"/>
    <cellStyle name="Currency 3 2 3" xfId="272" xr:uid="{00000000-0005-0000-0000-00008C000000}"/>
    <cellStyle name="Currency 3 2 4" xfId="436" xr:uid="{2262ED32-CBEE-423A-B60C-FADE081F46F8}"/>
    <cellStyle name="Currency 3 3" xfId="274" xr:uid="{00000000-0005-0000-0000-00008D000000}"/>
    <cellStyle name="Currency 4" xfId="55" xr:uid="{00000000-0005-0000-0000-00008E000000}"/>
    <cellStyle name="Currency 4 2" xfId="63" xr:uid="{00000000-0005-0000-0000-00008F000000}"/>
    <cellStyle name="Currency 4 2 2" xfId="145" xr:uid="{00000000-0005-0000-0000-000090000000}"/>
    <cellStyle name="Currency 4 2 2 2" xfId="103" xr:uid="{00000000-0005-0000-0000-000091000000}"/>
    <cellStyle name="Currency 4 2 2 2 2" xfId="137" xr:uid="{00000000-0005-0000-0000-000092000000}"/>
    <cellStyle name="Currency 4 2 2 2 3" xfId="150" xr:uid="{00000000-0005-0000-0000-000093000000}"/>
    <cellStyle name="Currency 4 2 2 2 4" xfId="154" xr:uid="{00000000-0005-0000-0000-000094000000}"/>
    <cellStyle name="Currency 4 2 2 2 5" xfId="226" xr:uid="{00000000-0005-0000-0000-000095000000}"/>
    <cellStyle name="Currency 4 2 2 3" xfId="276" xr:uid="{00000000-0005-0000-0000-000096000000}"/>
    <cellStyle name="Currency 4 2 3" xfId="277" xr:uid="{00000000-0005-0000-0000-000097000000}"/>
    <cellStyle name="Currency 4 2 4" xfId="275" xr:uid="{00000000-0005-0000-0000-000098000000}"/>
    <cellStyle name="Currency 4 3" xfId="278" xr:uid="{00000000-0005-0000-0000-000099000000}"/>
    <cellStyle name="Currency 4 3 2" xfId="279" xr:uid="{00000000-0005-0000-0000-00009A000000}"/>
    <cellStyle name="Currency 4 4" xfId="101" xr:uid="{00000000-0005-0000-0000-00009B000000}"/>
    <cellStyle name="Currency 4 4 2" xfId="136" xr:uid="{00000000-0005-0000-0000-00009C000000}"/>
    <cellStyle name="Currency 4 4 3" xfId="149" xr:uid="{00000000-0005-0000-0000-00009D000000}"/>
    <cellStyle name="Currency 4 4 4" xfId="153" xr:uid="{00000000-0005-0000-0000-00009E000000}"/>
    <cellStyle name="Currency 4 4 5" xfId="224" xr:uid="{00000000-0005-0000-0000-00009F000000}"/>
    <cellStyle name="Currency 4 5" xfId="221" xr:uid="{00000000-0005-0000-0000-0000A0000000}"/>
    <cellStyle name="Currency 5" xfId="96" xr:uid="{00000000-0005-0000-0000-0000A1000000}"/>
    <cellStyle name="Currency 5 2" xfId="281" xr:uid="{00000000-0005-0000-0000-0000A2000000}"/>
    <cellStyle name="Currency 5 2 2" xfId="282" xr:uid="{00000000-0005-0000-0000-0000A3000000}"/>
    <cellStyle name="Currency 5 3" xfId="283" xr:uid="{00000000-0005-0000-0000-0000A4000000}"/>
    <cellStyle name="Currency 5 4" xfId="280" xr:uid="{00000000-0005-0000-0000-0000A5000000}"/>
    <cellStyle name="Currency 6" xfId="114" xr:uid="{00000000-0005-0000-0000-0000A6000000}"/>
    <cellStyle name="Currency 6 2" xfId="284" xr:uid="{00000000-0005-0000-0000-0000A7000000}"/>
    <cellStyle name="Currency 7" xfId="116" xr:uid="{00000000-0005-0000-0000-0000A8000000}"/>
    <cellStyle name="Currency 8" xfId="140" xr:uid="{00000000-0005-0000-0000-0000A9000000}"/>
    <cellStyle name="Currency 9" xfId="143" xr:uid="{00000000-0005-0000-0000-0000AA000000}"/>
    <cellStyle name="Explanatory Text" xfId="28" builtinId="53" customBuiltin="1"/>
    <cellStyle name="Explanatory Text 2" xfId="194" xr:uid="{00000000-0005-0000-0000-0000AC000000}"/>
    <cellStyle name="Good" xfId="29" builtinId="26" customBuiltin="1"/>
    <cellStyle name="Good 2" xfId="195" xr:uid="{00000000-0005-0000-0000-0000AE000000}"/>
    <cellStyle name="Heading 1" xfId="30" builtinId="16" customBuiltin="1"/>
    <cellStyle name="Heading 1 2" xfId="196" xr:uid="{00000000-0005-0000-0000-0000B0000000}"/>
    <cellStyle name="Heading 2" xfId="31" builtinId="17" customBuiltin="1"/>
    <cellStyle name="Heading 2 2" xfId="197" xr:uid="{00000000-0005-0000-0000-0000B2000000}"/>
    <cellStyle name="Heading 3" xfId="32" builtinId="18" customBuiltin="1"/>
    <cellStyle name="Heading 3 2" xfId="198" xr:uid="{00000000-0005-0000-0000-0000B4000000}"/>
    <cellStyle name="Heading 3 3" xfId="407" xr:uid="{00000000-0005-0000-0000-0000B5000000}"/>
    <cellStyle name="Heading 4" xfId="33" builtinId="19" customBuiltin="1"/>
    <cellStyle name="Heading 4 2" xfId="199" xr:uid="{00000000-0005-0000-0000-0000B7000000}"/>
    <cellStyle name="Input" xfId="34" builtinId="20" customBuiltin="1"/>
    <cellStyle name="Input 2" xfId="84" xr:uid="{00000000-0005-0000-0000-0000B9000000}"/>
    <cellStyle name="Input 2 2" xfId="285" xr:uid="{00000000-0005-0000-0000-0000BA000000}"/>
    <cellStyle name="Input 2 3" xfId="200" xr:uid="{00000000-0005-0000-0000-0000BB000000}"/>
    <cellStyle name="Input 3" xfId="121" xr:uid="{00000000-0005-0000-0000-0000BC000000}"/>
    <cellStyle name="Input 3 2" xfId="286" xr:uid="{00000000-0005-0000-0000-0000BD000000}"/>
    <cellStyle name="Input 3 3" xfId="213" xr:uid="{00000000-0005-0000-0000-0000BE000000}"/>
    <cellStyle name="Input 4" xfId="217" xr:uid="{00000000-0005-0000-0000-0000BF000000}"/>
    <cellStyle name="Input 4 2" xfId="287" xr:uid="{00000000-0005-0000-0000-0000C0000000}"/>
    <cellStyle name="Input 5" xfId="288" xr:uid="{00000000-0005-0000-0000-0000C1000000}"/>
    <cellStyle name="Input 5 2" xfId="289" xr:uid="{00000000-0005-0000-0000-0000C2000000}"/>
    <cellStyle name="Input 6" xfId="290" xr:uid="{00000000-0005-0000-0000-0000C3000000}"/>
    <cellStyle name="Input 6 2" xfId="291" xr:uid="{00000000-0005-0000-0000-0000C4000000}"/>
    <cellStyle name="Input 7" xfId="292" xr:uid="{00000000-0005-0000-0000-0000C5000000}"/>
    <cellStyle name="Input 7 2" xfId="293" xr:uid="{00000000-0005-0000-0000-0000C6000000}"/>
    <cellStyle name="Input 8" xfId="294" xr:uid="{00000000-0005-0000-0000-0000C7000000}"/>
    <cellStyle name="Input 8 2" xfId="295" xr:uid="{00000000-0005-0000-0000-0000C8000000}"/>
    <cellStyle name="Input 9" xfId="422" xr:uid="{2907B248-C92E-40C0-BB66-01A11872FB3E}"/>
    <cellStyle name="Linked Cell" xfId="35" builtinId="24" customBuiltin="1"/>
    <cellStyle name="Linked Cell 2" xfId="201" xr:uid="{00000000-0005-0000-0000-0000CA000000}"/>
    <cellStyle name="Neutral" xfId="36" builtinId="28" customBuiltin="1"/>
    <cellStyle name="Neutral 2" xfId="202" xr:uid="{00000000-0005-0000-0000-0000CC000000}"/>
    <cellStyle name="Normal" xfId="0" builtinId="0"/>
    <cellStyle name="Normal 10" xfId="69" xr:uid="{00000000-0005-0000-0000-0000CE000000}"/>
    <cellStyle name="Normal 10 2" xfId="297" xr:uid="{00000000-0005-0000-0000-0000CF000000}"/>
    <cellStyle name="Normal 10 2 2" xfId="298" xr:uid="{00000000-0005-0000-0000-0000D0000000}"/>
    <cellStyle name="Normal 10 3" xfId="299" xr:uid="{00000000-0005-0000-0000-0000D1000000}"/>
    <cellStyle name="Normal 10 4" xfId="296" xr:uid="{00000000-0005-0000-0000-0000D2000000}"/>
    <cellStyle name="Normal 10 5" xfId="431" xr:uid="{054368B4-5E0F-4551-9613-8576697D8EFF}"/>
    <cellStyle name="Normal 10 5 2" xfId="447" xr:uid="{5A3F57A1-2406-4AF2-93D7-DE25171E0E76}"/>
    <cellStyle name="Normal 11" xfId="93" xr:uid="{00000000-0005-0000-0000-0000D3000000}"/>
    <cellStyle name="Normal 11 2" xfId="300" xr:uid="{00000000-0005-0000-0000-0000D4000000}"/>
    <cellStyle name="Normal 12" xfId="112" xr:uid="{00000000-0005-0000-0000-0000D5000000}"/>
    <cellStyle name="Normal 12 2" xfId="302" xr:uid="{00000000-0005-0000-0000-0000D6000000}"/>
    <cellStyle name="Normal 12 2 2" xfId="303" xr:uid="{00000000-0005-0000-0000-0000D7000000}"/>
    <cellStyle name="Normal 12 3" xfId="304" xr:uid="{00000000-0005-0000-0000-0000D8000000}"/>
    <cellStyle name="Normal 12 4" xfId="301" xr:uid="{00000000-0005-0000-0000-0000D9000000}"/>
    <cellStyle name="Normal 13" xfId="115" xr:uid="{00000000-0005-0000-0000-0000DA000000}"/>
    <cellStyle name="Normal 13 2" xfId="305" xr:uid="{00000000-0005-0000-0000-0000DB000000}"/>
    <cellStyle name="Normal 14" xfId="133" xr:uid="{00000000-0005-0000-0000-0000DC000000}"/>
    <cellStyle name="Normal 14 2" xfId="306" xr:uid="{00000000-0005-0000-0000-0000DD000000}"/>
    <cellStyle name="Normal 15" xfId="138" xr:uid="{00000000-0005-0000-0000-0000DE000000}"/>
    <cellStyle name="Normal 15 2" xfId="406" xr:uid="{00000000-0005-0000-0000-0000DF000000}"/>
    <cellStyle name="Normal 16" xfId="141" xr:uid="{00000000-0005-0000-0000-0000E0000000}"/>
    <cellStyle name="Normal 16 2" xfId="413" xr:uid="{00000000-0005-0000-0000-0000E1000000}"/>
    <cellStyle name="Normal 17" xfId="163" xr:uid="{00000000-0005-0000-0000-0000E2000000}"/>
    <cellStyle name="Normal 18" xfId="440" xr:uid="{1CAA4068-D06F-4757-8392-66FFE8530FAC}"/>
    <cellStyle name="Normal 19" xfId="442" xr:uid="{70742334-B278-404A-BDFF-FB4114F1A098}"/>
    <cellStyle name="Normal 2" xfId="37" xr:uid="{00000000-0005-0000-0000-0000E3000000}"/>
    <cellStyle name="Normal 2 2" xfId="56" xr:uid="{00000000-0005-0000-0000-0000E4000000}"/>
    <cellStyle name="Normal 2 2 2" xfId="60" xr:uid="{00000000-0005-0000-0000-0000E5000000}"/>
    <cellStyle name="Normal 20" xfId="446" xr:uid="{BE59EE59-449C-4296-AAD1-F8ED2E7F61E7}"/>
    <cellStyle name="Normal 3" xfId="43" xr:uid="{00000000-0005-0000-0000-0000E6000000}"/>
    <cellStyle name="Normal 3 10" xfId="118" xr:uid="{00000000-0005-0000-0000-0000E7000000}"/>
    <cellStyle name="Normal 3 11" xfId="125" xr:uid="{00000000-0005-0000-0000-0000E8000000}"/>
    <cellStyle name="Normal 3 12" xfId="129" xr:uid="{00000000-0005-0000-0000-0000E9000000}"/>
    <cellStyle name="Normal 3 13" xfId="155" xr:uid="{00000000-0005-0000-0000-0000EA000000}"/>
    <cellStyle name="Normal 3 14" xfId="208" xr:uid="{00000000-0005-0000-0000-0000EB000000}"/>
    <cellStyle name="Normal 3 15" xfId="409" xr:uid="{00000000-0005-0000-0000-0000EC000000}"/>
    <cellStyle name="Normal 3 16" xfId="426" xr:uid="{29A817A6-58AA-47E0-A109-E27D248BC222}"/>
    <cellStyle name="Normal 3 17" xfId="430" xr:uid="{B15643E3-2792-4409-8527-7835FC546974}"/>
    <cellStyle name="Normal 3 18" xfId="435" xr:uid="{E9B9F13E-CC38-47A5-A162-51E29BCE4B06}"/>
    <cellStyle name="Normal 3 2" xfId="64" xr:uid="{00000000-0005-0000-0000-0000ED000000}"/>
    <cellStyle name="Normal 3 2 2" xfId="68" xr:uid="{00000000-0005-0000-0000-0000EE000000}"/>
    <cellStyle name="Normal 3 2 2 2" xfId="111" xr:uid="{00000000-0005-0000-0000-0000EF000000}"/>
    <cellStyle name="Normal 3 2 2 2 2" xfId="162" xr:uid="{00000000-0005-0000-0000-0000F0000000}"/>
    <cellStyle name="Normal 3 2 2 3" xfId="308" xr:uid="{00000000-0005-0000-0000-0000F1000000}"/>
    <cellStyle name="Normal 3 2 3" xfId="307" xr:uid="{00000000-0005-0000-0000-0000F2000000}"/>
    <cellStyle name="Normal 3 3" xfId="79" xr:uid="{00000000-0005-0000-0000-0000F3000000}"/>
    <cellStyle name="Normal 3 3 2" xfId="310" xr:uid="{00000000-0005-0000-0000-0000F4000000}"/>
    <cellStyle name="Normal 3 3 3" xfId="309" xr:uid="{00000000-0005-0000-0000-0000F5000000}"/>
    <cellStyle name="Normal 3 3 4" xfId="417" xr:uid="{57D4C4ED-0C0D-44F8-ABDC-5E9D05742420}"/>
    <cellStyle name="Normal 3 4" xfId="88" xr:uid="{00000000-0005-0000-0000-0000F6000000}"/>
    <cellStyle name="Normal 3 4 2" xfId="312" xr:uid="{00000000-0005-0000-0000-0000F7000000}"/>
    <cellStyle name="Normal 3 4 3" xfId="311" xr:uid="{00000000-0005-0000-0000-0000F8000000}"/>
    <cellStyle name="Normal 3 5" xfId="97" xr:uid="{00000000-0005-0000-0000-0000F9000000}"/>
    <cellStyle name="Normal 3 5 2" xfId="314" xr:uid="{00000000-0005-0000-0000-0000FA000000}"/>
    <cellStyle name="Normal 3 5 3" xfId="313" xr:uid="{00000000-0005-0000-0000-0000FB000000}"/>
    <cellStyle name="Normal 3 6" xfId="105" xr:uid="{00000000-0005-0000-0000-0000FC000000}"/>
    <cellStyle name="Normal 3 6 2" xfId="316" xr:uid="{00000000-0005-0000-0000-0000FD000000}"/>
    <cellStyle name="Normal 3 6 3" xfId="315" xr:uid="{00000000-0005-0000-0000-0000FE000000}"/>
    <cellStyle name="Normal 3 7" xfId="109" xr:uid="{00000000-0005-0000-0000-0000FF000000}"/>
    <cellStyle name="Normal 3 7 2" xfId="159" xr:uid="{00000000-0005-0000-0000-000000010000}"/>
    <cellStyle name="Normal 3 7 2 2" xfId="318" xr:uid="{00000000-0005-0000-0000-000001010000}"/>
    <cellStyle name="Normal 3 7 3" xfId="317" xr:uid="{00000000-0005-0000-0000-000002010000}"/>
    <cellStyle name="Normal 3 8" xfId="113" xr:uid="{00000000-0005-0000-0000-000003010000}"/>
    <cellStyle name="Normal 3 8 2" xfId="320" xr:uid="{00000000-0005-0000-0000-000004010000}"/>
    <cellStyle name="Normal 3 8 3" xfId="319" xr:uid="{00000000-0005-0000-0000-000005010000}"/>
    <cellStyle name="Normal 3 9" xfId="117" xr:uid="{00000000-0005-0000-0000-000006010000}"/>
    <cellStyle name="Normal 3 9 2" xfId="321" xr:uid="{00000000-0005-0000-0000-000007010000}"/>
    <cellStyle name="Normal 4" xfId="46" xr:uid="{00000000-0005-0000-0000-000008010000}"/>
    <cellStyle name="Normal 4 10" xfId="429" xr:uid="{53951A0E-D954-48AF-B46E-9CD4DBFF096D}"/>
    <cellStyle name="Normal 4 2" xfId="50" xr:uid="{00000000-0005-0000-0000-000009010000}"/>
    <cellStyle name="Normal 4 2 2" xfId="322" xr:uid="{00000000-0005-0000-0000-00000A010000}"/>
    <cellStyle name="Normal 4 2 3" xfId="210" xr:uid="{00000000-0005-0000-0000-00000B010000}"/>
    <cellStyle name="Normal 4 3" xfId="82" xr:uid="{00000000-0005-0000-0000-00000C010000}"/>
    <cellStyle name="Normal 4 3 2" xfId="324" xr:uid="{00000000-0005-0000-0000-00000D010000}"/>
    <cellStyle name="Normal 4 3 3" xfId="323" xr:uid="{00000000-0005-0000-0000-00000E010000}"/>
    <cellStyle name="Normal 4 4" xfId="91" xr:uid="{00000000-0005-0000-0000-00000F010000}"/>
    <cellStyle name="Normal 4 4 2" xfId="326" xr:uid="{00000000-0005-0000-0000-000010010000}"/>
    <cellStyle name="Normal 4 4 3" xfId="325" xr:uid="{00000000-0005-0000-0000-000011010000}"/>
    <cellStyle name="Normal 4 5" xfId="108" xr:uid="{00000000-0005-0000-0000-000012010000}"/>
    <cellStyle name="Normal 4 5 2" xfId="328" xr:uid="{00000000-0005-0000-0000-000013010000}"/>
    <cellStyle name="Normal 4 5 3" xfId="327" xr:uid="{00000000-0005-0000-0000-000014010000}"/>
    <cellStyle name="Normal 4 6" xfId="128" xr:uid="{00000000-0005-0000-0000-000015010000}"/>
    <cellStyle name="Normal 4 6 2" xfId="330" xr:uid="{00000000-0005-0000-0000-000016010000}"/>
    <cellStyle name="Normal 4 6 3" xfId="329" xr:uid="{00000000-0005-0000-0000-000017010000}"/>
    <cellStyle name="Normal 4 7" xfId="132" xr:uid="{00000000-0005-0000-0000-000018010000}"/>
    <cellStyle name="Normal 4 7 2" xfId="332" xr:uid="{00000000-0005-0000-0000-000019010000}"/>
    <cellStyle name="Normal 4 7 3" xfId="331" xr:uid="{00000000-0005-0000-0000-00001A010000}"/>
    <cellStyle name="Normal 4 8" xfId="158" xr:uid="{00000000-0005-0000-0000-00001B010000}"/>
    <cellStyle name="Normal 4 8 2" xfId="334" xr:uid="{00000000-0005-0000-0000-00001C010000}"/>
    <cellStyle name="Normal 4 8 3" xfId="333" xr:uid="{00000000-0005-0000-0000-00001D010000}"/>
    <cellStyle name="Normal 4 9" xfId="412" xr:uid="{00000000-0005-0000-0000-00001E010000}"/>
    <cellStyle name="Normal 5" xfId="47" xr:uid="{00000000-0005-0000-0000-00001F010000}"/>
    <cellStyle name="Normal 5 2" xfId="65" xr:uid="{00000000-0005-0000-0000-000020010000}"/>
    <cellStyle name="Normal 5 2 2" xfId="336" xr:uid="{00000000-0005-0000-0000-000021010000}"/>
    <cellStyle name="Normal 5 2 3" xfId="335" xr:uid="{00000000-0005-0000-0000-000022010000}"/>
    <cellStyle name="Normal 5 3" xfId="337" xr:uid="{00000000-0005-0000-0000-000023010000}"/>
    <cellStyle name="Normal 5 4" xfId="414" xr:uid="{058C45E6-AD24-4725-998B-FD91F510B05C}"/>
    <cellStyle name="Normal 6" xfId="54" xr:uid="{00000000-0005-0000-0000-000024010000}"/>
    <cellStyle name="Normal 6 2" xfId="57" xr:uid="{00000000-0005-0000-0000-000025010000}"/>
    <cellStyle name="Normal 7" xfId="66" xr:uid="{00000000-0005-0000-0000-000026010000}"/>
    <cellStyle name="Normal 7 2" xfId="338" xr:uid="{00000000-0005-0000-0000-000027010000}"/>
    <cellStyle name="Normal 7 2 2" xfId="339" xr:uid="{00000000-0005-0000-0000-000028010000}"/>
    <cellStyle name="Normal 7 3" xfId="340" xr:uid="{00000000-0005-0000-0000-000029010000}"/>
    <cellStyle name="Normal 7 4" xfId="215" xr:uid="{00000000-0005-0000-0000-00002A010000}"/>
    <cellStyle name="Normal 7 5" xfId="418" xr:uid="{2C1E3D10-1AD3-4C04-A97C-371C4E139CE3}"/>
    <cellStyle name="Normal 8" xfId="67" xr:uid="{00000000-0005-0000-0000-00002B010000}"/>
    <cellStyle name="Normal 8 2" xfId="71" xr:uid="{00000000-0005-0000-0000-00002C010000}"/>
    <cellStyle name="Normal 8 2 2" xfId="343" xr:uid="{00000000-0005-0000-0000-00002D010000}"/>
    <cellStyle name="Normal 8 2 3" xfId="342" xr:uid="{00000000-0005-0000-0000-00002E010000}"/>
    <cellStyle name="Normal 8 2 4" xfId="433" xr:uid="{5AA9F025-A299-4D0C-A72E-041277CD0003}"/>
    <cellStyle name="Normal 8 3" xfId="110" xr:uid="{00000000-0005-0000-0000-00002F010000}"/>
    <cellStyle name="Normal 8 3 2" xfId="160" xr:uid="{00000000-0005-0000-0000-000030010000}"/>
    <cellStyle name="Normal 8 3 3" xfId="344" xr:uid="{00000000-0005-0000-0000-000031010000}"/>
    <cellStyle name="Normal 8 4" xfId="341" xr:uid="{00000000-0005-0000-0000-000032010000}"/>
    <cellStyle name="Normal 8 5" xfId="444" xr:uid="{FD9D5B89-CFAD-4E1D-951E-FF035466EDBC}"/>
    <cellStyle name="Normal 9" xfId="61" xr:uid="{00000000-0005-0000-0000-000033010000}"/>
    <cellStyle name="Normal 9 2" xfId="144" xr:uid="{00000000-0005-0000-0000-000034010000}"/>
    <cellStyle name="Normal 9 2 2" xfId="346" xr:uid="{00000000-0005-0000-0000-000035010000}"/>
    <cellStyle name="Normal 9 2 2 2" xfId="104" xr:uid="{00000000-0005-0000-0000-000036010000}"/>
    <cellStyle name="Normal 9 2 2 2 2" xfId="225" xr:uid="{00000000-0005-0000-0000-000037010000}"/>
    <cellStyle name="Normal 9 2 3" xfId="347" xr:uid="{00000000-0005-0000-0000-000038010000}"/>
    <cellStyle name="Normal 9 2 4" xfId="345" xr:uid="{00000000-0005-0000-0000-000039010000}"/>
    <cellStyle name="Normal 9 3" xfId="348" xr:uid="{00000000-0005-0000-0000-00003A010000}"/>
    <cellStyle name="Normal 9 3 2" xfId="349" xr:uid="{00000000-0005-0000-0000-00003B010000}"/>
    <cellStyle name="Normal 9 4" xfId="99" xr:uid="{00000000-0005-0000-0000-00003C010000}"/>
    <cellStyle name="Normal 9 4 2" xfId="134" xr:uid="{00000000-0005-0000-0000-00003D010000}"/>
    <cellStyle name="Normal 9 4 3" xfId="147" xr:uid="{00000000-0005-0000-0000-00003E010000}"/>
    <cellStyle name="Normal 9 4 4" xfId="151" xr:uid="{00000000-0005-0000-0000-00003F010000}"/>
    <cellStyle name="Normal 9 4 5" xfId="222" xr:uid="{00000000-0005-0000-0000-000040010000}"/>
    <cellStyle name="Normal 9 5" xfId="220" xr:uid="{00000000-0005-0000-0000-000041010000}"/>
    <cellStyle name="Note" xfId="38" builtinId="10" customBuiltin="1"/>
    <cellStyle name="Note 10" xfId="423" xr:uid="{91D7B511-B75A-4722-AAA3-2812DD81A61A}"/>
    <cellStyle name="Note 2" xfId="85" xr:uid="{00000000-0005-0000-0000-000043010000}"/>
    <cellStyle name="Note 2 2" xfId="350" xr:uid="{00000000-0005-0000-0000-000044010000}"/>
    <cellStyle name="Note 2 3" xfId="203" xr:uid="{00000000-0005-0000-0000-000045010000}"/>
    <cellStyle name="Note 3" xfId="122" xr:uid="{00000000-0005-0000-0000-000046010000}"/>
    <cellStyle name="Note 3 2" xfId="351" xr:uid="{00000000-0005-0000-0000-000047010000}"/>
    <cellStyle name="Note 4" xfId="352" xr:uid="{00000000-0005-0000-0000-000048010000}"/>
    <cellStyle name="Note 4 2" xfId="353" xr:uid="{00000000-0005-0000-0000-000049010000}"/>
    <cellStyle name="Note 5" xfId="354" xr:uid="{00000000-0005-0000-0000-00004A010000}"/>
    <cellStyle name="Note 5 2" xfId="355" xr:uid="{00000000-0005-0000-0000-00004B010000}"/>
    <cellStyle name="Note 6" xfId="356" xr:uid="{00000000-0005-0000-0000-00004C010000}"/>
    <cellStyle name="Note 6 2" xfId="357" xr:uid="{00000000-0005-0000-0000-00004D010000}"/>
    <cellStyle name="Note 7" xfId="358" xr:uid="{00000000-0005-0000-0000-00004E010000}"/>
    <cellStyle name="Note 7 2" xfId="359" xr:uid="{00000000-0005-0000-0000-00004F010000}"/>
    <cellStyle name="Note 8" xfId="360" xr:uid="{00000000-0005-0000-0000-000050010000}"/>
    <cellStyle name="Note 8 2" xfId="361" xr:uid="{00000000-0005-0000-0000-000051010000}"/>
    <cellStyle name="Note 9" xfId="408" xr:uid="{00000000-0005-0000-0000-000052010000}"/>
    <cellStyle name="Output" xfId="39" builtinId="21" customBuiltin="1"/>
    <cellStyle name="Output 2" xfId="86" xr:uid="{00000000-0005-0000-0000-000054010000}"/>
    <cellStyle name="Output 2 2" xfId="362" xr:uid="{00000000-0005-0000-0000-000055010000}"/>
    <cellStyle name="Output 2 3" xfId="204" xr:uid="{00000000-0005-0000-0000-000056010000}"/>
    <cellStyle name="Output 3" xfId="123" xr:uid="{00000000-0005-0000-0000-000057010000}"/>
    <cellStyle name="Output 3 2" xfId="363" xr:uid="{00000000-0005-0000-0000-000058010000}"/>
    <cellStyle name="Output 3 3" xfId="212" xr:uid="{00000000-0005-0000-0000-000059010000}"/>
    <cellStyle name="Output 4" xfId="218" xr:uid="{00000000-0005-0000-0000-00005A010000}"/>
    <cellStyle name="Output 4 2" xfId="364" xr:uid="{00000000-0005-0000-0000-00005B010000}"/>
    <cellStyle name="Output 5" xfId="365" xr:uid="{00000000-0005-0000-0000-00005C010000}"/>
    <cellStyle name="Output 5 2" xfId="366" xr:uid="{00000000-0005-0000-0000-00005D010000}"/>
    <cellStyle name="Output 6" xfId="367" xr:uid="{00000000-0005-0000-0000-00005E010000}"/>
    <cellStyle name="Output 6 2" xfId="368" xr:uid="{00000000-0005-0000-0000-00005F010000}"/>
    <cellStyle name="Output 7" xfId="369" xr:uid="{00000000-0005-0000-0000-000060010000}"/>
    <cellStyle name="Output 7 2" xfId="370" xr:uid="{00000000-0005-0000-0000-000061010000}"/>
    <cellStyle name="Output 8" xfId="371" xr:uid="{00000000-0005-0000-0000-000062010000}"/>
    <cellStyle name="Output 8 2" xfId="372" xr:uid="{00000000-0005-0000-0000-000063010000}"/>
    <cellStyle name="Output 9" xfId="424" xr:uid="{0FF502EF-4078-46DC-9C52-D9954F4AFF44}"/>
    <cellStyle name="Percent" xfId="92" builtinId="5"/>
    <cellStyle name="Percent 2" xfId="45" xr:uid="{00000000-0005-0000-0000-000065010000}"/>
    <cellStyle name="Percent 2 10" xfId="373" xr:uid="{00000000-0005-0000-0000-000066010000}"/>
    <cellStyle name="Percent 2 11" xfId="165" xr:uid="{00000000-0005-0000-0000-000067010000}"/>
    <cellStyle name="Percent 2 12" xfId="411" xr:uid="{00000000-0005-0000-0000-000068010000}"/>
    <cellStyle name="Percent 2 13" xfId="428" xr:uid="{1F29A116-514C-4643-AC45-B0974820E7E4}"/>
    <cellStyle name="Percent 2 2" xfId="81" xr:uid="{00000000-0005-0000-0000-000069010000}"/>
    <cellStyle name="Percent 2 3" xfId="90" xr:uid="{00000000-0005-0000-0000-00006A010000}"/>
    <cellStyle name="Percent 2 3 2" xfId="375" xr:uid="{00000000-0005-0000-0000-00006B010000}"/>
    <cellStyle name="Percent 2 3 3" xfId="374" xr:uid="{00000000-0005-0000-0000-00006C010000}"/>
    <cellStyle name="Percent 2 4" xfId="95" xr:uid="{00000000-0005-0000-0000-00006D010000}"/>
    <cellStyle name="Percent 2 4 2" xfId="377" xr:uid="{00000000-0005-0000-0000-00006E010000}"/>
    <cellStyle name="Percent 2 4 3" xfId="376" xr:uid="{00000000-0005-0000-0000-00006F010000}"/>
    <cellStyle name="Percent 2 5" xfId="107" xr:uid="{00000000-0005-0000-0000-000070010000}"/>
    <cellStyle name="Percent 2 5 2" xfId="379" xr:uid="{00000000-0005-0000-0000-000071010000}"/>
    <cellStyle name="Percent 2 5 3" xfId="378" xr:uid="{00000000-0005-0000-0000-000072010000}"/>
    <cellStyle name="Percent 2 6" xfId="127" xr:uid="{00000000-0005-0000-0000-000073010000}"/>
    <cellStyle name="Percent 2 6 2" xfId="381" xr:uid="{00000000-0005-0000-0000-000074010000}"/>
    <cellStyle name="Percent 2 6 3" xfId="380" xr:uid="{00000000-0005-0000-0000-000075010000}"/>
    <cellStyle name="Percent 2 7" xfId="131" xr:uid="{00000000-0005-0000-0000-000076010000}"/>
    <cellStyle name="Percent 2 7 2" xfId="383" xr:uid="{00000000-0005-0000-0000-000077010000}"/>
    <cellStyle name="Percent 2 7 3" xfId="382" xr:uid="{00000000-0005-0000-0000-000078010000}"/>
    <cellStyle name="Percent 2 8" xfId="157" xr:uid="{00000000-0005-0000-0000-000079010000}"/>
    <cellStyle name="Percent 2 8 2" xfId="385" xr:uid="{00000000-0005-0000-0000-00007A010000}"/>
    <cellStyle name="Percent 2 8 3" xfId="384" xr:uid="{00000000-0005-0000-0000-00007B010000}"/>
    <cellStyle name="Percent 2 9" xfId="386" xr:uid="{00000000-0005-0000-0000-00007C010000}"/>
    <cellStyle name="Percent 2 9 2" xfId="387" xr:uid="{00000000-0005-0000-0000-00007D010000}"/>
    <cellStyle name="Percent 3" xfId="51" xr:uid="{00000000-0005-0000-0000-00007E010000}"/>
    <cellStyle name="Percent 3 2" xfId="80" xr:uid="{00000000-0005-0000-0000-00007F010000}"/>
    <cellStyle name="Percent 3 3" xfId="415" xr:uid="{3BAF9B68-4B79-4001-9261-167AF93E1757}"/>
    <cellStyle name="Percent 4" xfId="73" xr:uid="{00000000-0005-0000-0000-000080010000}"/>
    <cellStyle name="Percent 4 2" xfId="78" xr:uid="{00000000-0005-0000-0000-000081010000}"/>
    <cellStyle name="Percent 4 3" xfId="434" xr:uid="{54A783C7-363E-4447-8D36-98D41AF964D6}"/>
    <cellStyle name="Percent 5" xfId="388" xr:uid="{00000000-0005-0000-0000-000082010000}"/>
    <cellStyle name="Percent 5 2" xfId="389" xr:uid="{00000000-0005-0000-0000-000083010000}"/>
    <cellStyle name="Percent 5 2 2" xfId="390" xr:uid="{00000000-0005-0000-0000-000084010000}"/>
    <cellStyle name="Percent 5 3" xfId="391" xr:uid="{00000000-0005-0000-0000-000085010000}"/>
    <cellStyle name="Percent 6" xfId="392" xr:uid="{00000000-0005-0000-0000-000086010000}"/>
    <cellStyle name="Percent 7" xfId="74" xr:uid="{00000000-0005-0000-0000-000087010000}"/>
    <cellStyle name="Percent 8" xfId="166" xr:uid="{00000000-0005-0000-0000-000088010000}"/>
    <cellStyle name="Style 1" xfId="393" xr:uid="{00000000-0005-0000-0000-000089010000}"/>
    <cellStyle name="Style 2" xfId="394" xr:uid="{00000000-0005-0000-0000-00008A010000}"/>
    <cellStyle name="Title" xfId="40" builtinId="15" customBuiltin="1"/>
    <cellStyle name="Title 2" xfId="205" xr:uid="{00000000-0005-0000-0000-00008C010000}"/>
    <cellStyle name="Total" xfId="41" builtinId="25" customBuiltin="1"/>
    <cellStyle name="Total 2" xfId="87" xr:uid="{00000000-0005-0000-0000-00008E010000}"/>
    <cellStyle name="Total 2 2" xfId="395" xr:uid="{00000000-0005-0000-0000-00008F010000}"/>
    <cellStyle name="Total 2 3" xfId="206" xr:uid="{00000000-0005-0000-0000-000090010000}"/>
    <cellStyle name="Total 3" xfId="124" xr:uid="{00000000-0005-0000-0000-000091010000}"/>
    <cellStyle name="Total 3 2" xfId="396" xr:uid="{00000000-0005-0000-0000-000092010000}"/>
    <cellStyle name="Total 3 3" xfId="211" xr:uid="{00000000-0005-0000-0000-000093010000}"/>
    <cellStyle name="Total 4" xfId="219" xr:uid="{00000000-0005-0000-0000-000094010000}"/>
    <cellStyle name="Total 4 2" xfId="397" xr:uid="{00000000-0005-0000-0000-000095010000}"/>
    <cellStyle name="Total 5" xfId="398" xr:uid="{00000000-0005-0000-0000-000096010000}"/>
    <cellStyle name="Total 5 2" xfId="399" xr:uid="{00000000-0005-0000-0000-000097010000}"/>
    <cellStyle name="Total 6" xfId="400" xr:uid="{00000000-0005-0000-0000-000098010000}"/>
    <cellStyle name="Total 6 2" xfId="401" xr:uid="{00000000-0005-0000-0000-000099010000}"/>
    <cellStyle name="Total 7" xfId="402" xr:uid="{00000000-0005-0000-0000-00009A010000}"/>
    <cellStyle name="Total 7 2" xfId="403" xr:uid="{00000000-0005-0000-0000-00009B010000}"/>
    <cellStyle name="Total 8" xfId="404" xr:uid="{00000000-0005-0000-0000-00009C010000}"/>
    <cellStyle name="Total 8 2" xfId="405" xr:uid="{00000000-0005-0000-0000-00009D010000}"/>
    <cellStyle name="Total 9" xfId="425" xr:uid="{D3186769-E250-4D4B-A412-54FD68511FFE}"/>
    <cellStyle name="Warning Text" xfId="42" builtinId="11" customBuiltin="1"/>
    <cellStyle name="Warning Text 2" xfId="207" xr:uid="{00000000-0005-0000-0000-00009F010000}"/>
  </cellStyles>
  <dxfs count="10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6" tint="-0.24994659260841701"/>
      </font>
    </dxf>
    <dxf>
      <font>
        <color theme="3" tint="0.24994659260841701"/>
      </font>
    </dxf>
    <dxf>
      <font>
        <color theme="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numFmt numFmtId="167" formatCode="_(* #,##0.0000_);_(* \(#,##0.0000\);_(* &quot;-&quot;????_);_(@_)"/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color theme="3"/>
        <name val="Segoe UI"/>
        <family val="2"/>
        <scheme val="none"/>
      </font>
      <numFmt numFmtId="164" formatCode="_(&quot;$&quot;* #,##0_);_(&quot;$&quot;* \(#,##0\);_(&quot;$&quot;* &quot;-&quot;??_);_(@_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  <numFmt numFmtId="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numFmt numFmtId="0" formatCode="General"/>
      <fill>
        <patternFill patternType="solid">
          <fgColor theme="7"/>
          <bgColor theme="7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  <numFmt numFmtId="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numFmt numFmtId="0" formatCode="General"/>
      <fill>
        <patternFill patternType="solid">
          <fgColor theme="7"/>
          <bgColor theme="7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3"/>
        <name val="Segoe UI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FFFFCC"/>
      <color rgb="FFFDE9D9"/>
      <color rgb="FFFFFF99"/>
      <color rgb="FFFF99CC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Macek\TTA\2005\Model\TTA-501\TTA-d506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pt-server2\Profiles\Documents%20and%20Settings\cbadger\My%20Documents\Excel%20Files\FUNDING\FY%202004\FY04%20Development%20Program%20of%20Projects%20-%20CMB%205-7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EC.%20PROJ.%20DATA%20BAS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drinc.sharepoint.com/Documents%20and%20Settings/swells/Desktop/FY13%20SYIP%20Final%20June%202012%207-18-2012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drinc.sharepoint.com/teams/DL10433033/Shared%20Documents/DRPT%20MERIT%20Analysis/Working/Operating%20Scenarios/FY26%20Operating%20Assistance%20Allocation%20Calculations_031325_HDR%20Working_1-28-26.xlsx" TargetMode="External"/><Relationship Id="rId1" Type="http://schemas.openxmlformats.org/officeDocument/2006/relationships/externalLinkPath" Target="https://hdrinc.sharepoint.com/teams/DL10433033/Shared%20Documents/DRPT%20MERIT%20Analysis/Working/Operating%20Scenarios/FY26%20Operating%20Assistance%20Allocation%20Calculations_031325_HDR%20Working_1-28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4"/>
      <sheetName val="Sheet5"/>
      <sheetName val="Sheet3"/>
      <sheetName val="A"/>
      <sheetName val="Distn"/>
      <sheetName val="Seg"/>
      <sheetName val="Graph"/>
      <sheetName val="Cost"/>
      <sheetName val="Flow"/>
      <sheetName val="Restate"/>
      <sheetName val="Bond"/>
      <sheetName val="Corel"/>
      <sheetName val="RoadMap"/>
      <sheetName val="FTA Funds Coeef Table"/>
      <sheetName val="Template 13"/>
      <sheetName val="IOS Cost Summary"/>
      <sheetName val="IOS Cost Summary-Report"/>
      <sheetName val="CIP Cost Summary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4">
          <cell r="G164">
            <v>0.16440499999999997</v>
          </cell>
          <cell r="H164">
            <v>0.16730999999999996</v>
          </cell>
          <cell r="I164">
            <v>0.17021499999999995</v>
          </cell>
          <cell r="J164">
            <v>0.17311999999999994</v>
          </cell>
          <cell r="K164">
            <v>0.17602499999999993</v>
          </cell>
          <cell r="L164">
            <v>0.17892999999999992</v>
          </cell>
          <cell r="M164">
            <v>0.181835</v>
          </cell>
          <cell r="N164">
            <v>0.18521170000000001</v>
          </cell>
          <cell r="O164">
            <v>0.18858840000000002</v>
          </cell>
          <cell r="P164">
            <v>0.19196510000000003</v>
          </cell>
          <cell r="Q164">
            <v>0.19534180000000004</v>
          </cell>
          <cell r="R164">
            <v>0.19871850000000005</v>
          </cell>
          <cell r="S164">
            <v>0.20209520000000006</v>
          </cell>
          <cell r="T164">
            <v>0.20547190000000007</v>
          </cell>
          <cell r="U164">
            <v>0.20884860000000008</v>
          </cell>
          <cell r="V164">
            <v>0.21222530000000009</v>
          </cell>
          <cell r="W164">
            <v>0.21560199999999999</v>
          </cell>
          <cell r="X164">
            <v>0.21900639999999999</v>
          </cell>
          <cell r="Y164">
            <v>0.22241079999999999</v>
          </cell>
          <cell r="Z164">
            <v>0.22581519999999999</v>
          </cell>
          <cell r="AA164">
            <v>0.2292196</v>
          </cell>
          <cell r="AB164">
            <v>0.232624</v>
          </cell>
          <cell r="AC164">
            <v>0.2360283</v>
          </cell>
          <cell r="AD164">
            <v>0.2394326</v>
          </cell>
          <cell r="AE164">
            <v>0.24283689999999999</v>
          </cell>
          <cell r="AF164">
            <v>0.24624119999999999</v>
          </cell>
          <cell r="AG164">
            <v>0.24964549999999999</v>
          </cell>
          <cell r="AH164">
            <v>0.25304979999999999</v>
          </cell>
          <cell r="AI164">
            <v>0.25645410000000002</v>
          </cell>
          <cell r="AJ164">
            <v>0.25985840000000004</v>
          </cell>
          <cell r="AK164">
            <v>0.26326270000000007</v>
          </cell>
          <cell r="AL164">
            <v>0.26666699999999999</v>
          </cell>
          <cell r="AM164">
            <v>0.27007140000000002</v>
          </cell>
          <cell r="AN164">
            <v>0.27347580000000005</v>
          </cell>
          <cell r="AO164">
            <v>0.27688020000000008</v>
          </cell>
          <cell r="AP164">
            <v>0.28028460000000011</v>
          </cell>
          <cell r="AQ164">
            <v>0.28368900000000002</v>
          </cell>
          <cell r="AR164">
            <v>0.2870934</v>
          </cell>
          <cell r="AS164">
            <v>0.29049779999999997</v>
          </cell>
          <cell r="AT164">
            <v>0.29390219999999995</v>
          </cell>
          <cell r="AU164">
            <v>0.29730659999999992</v>
          </cell>
          <cell r="AV164">
            <v>0.30071100000000001</v>
          </cell>
          <cell r="AW164">
            <v>0.30411539999999998</v>
          </cell>
          <cell r="AX164">
            <v>0.30751979999999995</v>
          </cell>
          <cell r="AY164">
            <v>0.31092419999999993</v>
          </cell>
          <cell r="AZ164">
            <v>0.3143285999999999</v>
          </cell>
          <cell r="BA164">
            <v>0.31773299999999988</v>
          </cell>
          <cell r="BB164">
            <v>0.32113739999999985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Introduction p1"/>
      <sheetName val="Fund Summary p2"/>
      <sheetName val="Districts 3-39"/>
      <sheetName val="Form. Assist 40"/>
      <sheetName val="Cap. Assist 41 "/>
      <sheetName val="Spec. Proj. 42-43"/>
      <sheetName val="5307&amp;5311 p44"/>
      <sheetName val="5303&amp;5313 p45"/>
      <sheetName val="5310 p46 "/>
      <sheetName val="Paratransit &amp; JARC p47"/>
      <sheetName val="VTA 2000 Projects p48"/>
      <sheetName val="App. Receipt Log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. PROJ. DATA BAS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s"/>
      <sheetName val="Notes for SYIP"/>
      <sheetName val="changes"/>
      <sheetName val="Fund Summary"/>
      <sheetName val="Fund Summary-Revenues"/>
      <sheetName val="Fund Summary Recon"/>
      <sheetName val="Construction District Summary"/>
      <sheetName val="Construction District Detail"/>
      <sheetName val="CTB Formula"/>
      <sheetName val="Formula Detail"/>
      <sheetName val="CTB Capital"/>
      <sheetName val="Capital Detail"/>
      <sheetName val="capital issues"/>
      <sheetName val="Special Projects"/>
      <sheetName val="Senior Transportation"/>
      <sheetName val="TDM &amp; TMP"/>
      <sheetName val="5303 - 5304"/>
      <sheetName val="5307"/>
      <sheetName val="5310"/>
      <sheetName val="5311"/>
      <sheetName val="JARC"/>
      <sheetName val="New Freedom"/>
      <sheetName val="REF"/>
      <sheetName val="REF (2)"/>
      <sheetName val="IPROC"/>
      <sheetName val="RPF"/>
      <sheetName val="RPF (2)"/>
      <sheetName val="Five Year Capital Needs"/>
    </sheetNames>
    <sheetDataSet>
      <sheetData sheetId="0">
        <row r="3">
          <cell r="B3" t="str">
            <v>State MTF Capital Assistance</v>
          </cell>
        </row>
        <row r="4">
          <cell r="B4" t="str">
            <v>State MTF Paratransit Assistance</v>
          </cell>
        </row>
        <row r="5">
          <cell r="B5" t="str">
            <v>State TTF Capital Assistance</v>
          </cell>
        </row>
        <row r="6">
          <cell r="B6" t="str">
            <v>State Bond Assistance</v>
          </cell>
        </row>
        <row r="7">
          <cell r="B7" t="str">
            <v>Other Bonds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-26"/>
      <sheetName val="Comparisons"/>
      <sheetName val="S6C"/>
      <sheetName val="S6C -Siz Avg"/>
      <sheetName val="S6C-Deadhead"/>
      <sheetName val="S6C-Avg"/>
      <sheetName val="S6C-Cost"/>
      <sheetName val="S6C-Combo"/>
      <sheetName val="S6C-Admin Combo"/>
      <sheetName val="S6C-Alt a"/>
      <sheetName val="S6C-Alt b"/>
      <sheetName val="Ridership"/>
      <sheetName val="Revenue Hours"/>
      <sheetName val="Revenue Miles"/>
      <sheetName val="Sizing - Reimbursable Expenses"/>
      <sheetName val="Op Cost"/>
      <sheetName val="Passengers"/>
      <sheetName val="Rev Hours"/>
      <sheetName val="Rev Miles"/>
      <sheetName val="Op Cost Gph"/>
      <sheetName val="Pax per Rev Hr---"/>
      <sheetName val="Pax per Rev Mi---"/>
      <sheetName val="Cost per Rev Mi"/>
      <sheetName val="Cost per Rev Hr"/>
      <sheetName val="Cost per Passenger---"/>
      <sheetName val="S7A-IN"/>
      <sheetName val="S7B-OYP"/>
      <sheetName val="S1C"/>
      <sheetName val="S1E"/>
      <sheetName val="S3B"/>
      <sheetName val="S4E"/>
      <sheetName val="S5A"/>
      <sheetName val="S5B"/>
      <sheetName val="S6B"/>
      <sheetName val="S6G"/>
      <sheetName val="S6H"/>
      <sheetName val="S6J"/>
      <sheetName val="S6K"/>
      <sheetName val="TEST"/>
      <sheetName val="Allocation Calculations"/>
      <sheetName val="24-25-26"/>
      <sheetName val="S1A"/>
      <sheetName val="S1B"/>
      <sheetName val="S1D"/>
      <sheetName val="S1F"/>
      <sheetName val="S2A"/>
      <sheetName val="S2B"/>
      <sheetName val="S3A"/>
      <sheetName val="S3C"/>
      <sheetName val="S3D"/>
      <sheetName val="S4A"/>
      <sheetName val="S4B"/>
      <sheetName val="S4C"/>
      <sheetName val="S4D"/>
      <sheetName val="S6A"/>
      <sheetName val="S6D"/>
      <sheetName val="S6E"/>
      <sheetName val="S6F"/>
      <sheetName val="Scenario Key"/>
      <sheetName val="Commuter Rail P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2">
          <cell r="B12" t="str">
            <v>AASC / Four County Transit</v>
          </cell>
          <cell r="C12"/>
          <cell r="D12">
            <v>2553471</v>
          </cell>
          <cell r="E12">
            <v>124617</v>
          </cell>
          <cell r="F12">
            <v>31601</v>
          </cell>
          <cell r="G12">
            <v>650766</v>
          </cell>
          <cell r="H12">
            <v>4.6100442352374604E-3</v>
          </cell>
          <cell r="I12">
            <v>4.6100442352374612E-3</v>
          </cell>
          <cell r="J12"/>
          <cell r="K12">
            <v>3.0233116215289679</v>
          </cell>
          <cell r="L12">
            <v>3.1691372472531043</v>
          </cell>
          <cell r="M12">
            <v>3.6951123254401943</v>
          </cell>
          <cell r="N12">
            <v>3.9434511566089681</v>
          </cell>
          <cell r="O12">
            <v>0.93176116753380356</v>
          </cell>
          <cell r="P12">
            <v>4.2954601990073376E-3</v>
          </cell>
          <cell r="Q12">
            <v>4.1576584667765409E-3</v>
          </cell>
          <cell r="R12">
            <v>0.1472857600940598</v>
          </cell>
          <cell r="S12">
            <v>0.15372497942218116</v>
          </cell>
          <cell r="T12">
            <v>0.17586518789083722</v>
          </cell>
          <cell r="U12">
            <v>0.19149279464507979</v>
          </cell>
          <cell r="V12">
            <v>0.9347970958451205</v>
          </cell>
          <cell r="W12">
            <v>4.3094559628175187E-3</v>
          </cell>
          <cell r="X12">
            <v>4.176653707221872E-3</v>
          </cell>
          <cell r="Y12">
            <v>64.628076791223862</v>
          </cell>
          <cell r="Z12">
            <v>74.945094597230351</v>
          </cell>
          <cell r="AA12">
            <v>75.894444444444446</v>
          </cell>
          <cell r="AB12">
            <v>80.803487231416725</v>
          </cell>
          <cell r="AC12">
            <v>1.0336474299505864</v>
          </cell>
          <cell r="AD12">
            <v>4.459977456198817E-3</v>
          </cell>
          <cell r="AE12">
            <v>4.4666333681354312E-3</v>
          </cell>
          <cell r="AF12">
            <v>3.148466517916789</v>
          </cell>
          <cell r="AG12">
            <v>3.6353531658304137</v>
          </cell>
          <cell r="AH12">
            <v>3.61212043276733</v>
          </cell>
          <cell r="AI12">
            <v>3.9237928840781477</v>
          </cell>
          <cell r="AJ12">
            <v>1.0389409184023559</v>
          </cell>
          <cell r="AK12">
            <v>4.4372535084349291E-3</v>
          </cell>
          <cell r="AL12">
            <v>4.4439193456066051E-3</v>
          </cell>
          <cell r="AM12">
            <v>21.37658464678535</v>
          </cell>
          <cell r="AN12">
            <v>23.64842187323698</v>
          </cell>
          <cell r="AO12">
            <v>20.53914408012028</v>
          </cell>
          <cell r="AP12">
            <v>20.490551048412335</v>
          </cell>
          <cell r="AQ12">
            <v>1.1261773463790854</v>
          </cell>
          <cell r="AR12">
            <v>4.0935330923320334E-3</v>
          </cell>
          <cell r="AS12">
            <v>4.1184498011431411E-3</v>
          </cell>
          <cell r="AT12"/>
          <cell r="AU12">
            <v>8.3153169335530822E-4</v>
          </cell>
          <cell r="AV12">
            <v>8.3533074144437444E-4</v>
          </cell>
          <cell r="AW12">
            <v>8.9332667362708625E-4</v>
          </cell>
          <cell r="AX12">
            <v>8.8878386912132111E-4</v>
          </cell>
          <cell r="AY12">
            <v>8.2368996022862823E-4</v>
          </cell>
          <cell r="AZ12">
            <v>-7.3183960987169269E-2</v>
          </cell>
          <cell r="BA12">
            <v>105359.1142759325</v>
          </cell>
          <cell r="BB12">
            <v>105840.47216638233</v>
          </cell>
          <cell r="BC12">
            <v>113188.83915612572</v>
          </cell>
          <cell r="BD12">
            <v>112613.24370633013</v>
          </cell>
          <cell r="BE12">
            <v>104365.52850738355</v>
          </cell>
          <cell r="BF12">
            <v>541367.19781215431</v>
          </cell>
          <cell r="BH12">
            <v>2553471</v>
          </cell>
          <cell r="BI12">
            <v>0.21201227576587098</v>
          </cell>
          <cell r="BJ12">
            <v>541367.19781215431</v>
          </cell>
          <cell r="BK12">
            <v>0</v>
          </cell>
          <cell r="BM12">
            <v>541367.19781215431</v>
          </cell>
          <cell r="BN12">
            <v>4.6746547476896345E-3</v>
          </cell>
          <cell r="BO12">
            <v>13440.01289420156</v>
          </cell>
          <cell r="BP12">
            <v>554807.21070635587</v>
          </cell>
          <cell r="BQ12">
            <v>0.21727570460222806</v>
          </cell>
          <cell r="BR12">
            <v>0</v>
          </cell>
          <cell r="BS12"/>
          <cell r="BT12">
            <v>2553471</v>
          </cell>
          <cell r="BU12">
            <v>0.21727570460222806</v>
          </cell>
          <cell r="BV12">
            <v>554807.21070635587</v>
          </cell>
          <cell r="BW12">
            <v>0</v>
          </cell>
          <cell r="BY12">
            <v>554807.21070635587</v>
          </cell>
          <cell r="BZ12">
            <v>4.6746547476896336E-3</v>
          </cell>
          <cell r="CA12">
            <v>0</v>
          </cell>
          <cell r="CB12">
            <v>554807.21070635587</v>
          </cell>
          <cell r="CC12">
            <v>0.21727570460222806</v>
          </cell>
          <cell r="CD12">
            <v>0</v>
          </cell>
          <cell r="CE12"/>
          <cell r="CF12">
            <v>766041.29999999993</v>
          </cell>
          <cell r="CG12">
            <v>0</v>
          </cell>
          <cell r="CH12">
            <v>554807.21070635587</v>
          </cell>
          <cell r="CI12">
            <v>0.21727570460222806</v>
          </cell>
          <cell r="CL12">
            <v>0</v>
          </cell>
          <cell r="CM12">
            <v>554807.21070635587</v>
          </cell>
        </row>
        <row r="13">
          <cell r="B13" t="str">
            <v>City of Bristol Virginia</v>
          </cell>
          <cell r="C13"/>
          <cell r="D13">
            <v>361548</v>
          </cell>
          <cell r="E13">
            <v>42876</v>
          </cell>
          <cell r="F13">
            <v>7605</v>
          </cell>
          <cell r="G13">
            <v>91473</v>
          </cell>
          <cell r="H13">
            <v>8.6115419460705133E-4</v>
          </cell>
          <cell r="I13">
            <v>8.6115419460705144E-4</v>
          </cell>
          <cell r="J13"/>
          <cell r="K13">
            <v>3.8435006435006436</v>
          </cell>
          <cell r="L13">
            <v>4.8354101054361225</v>
          </cell>
          <cell r="M13">
            <v>5.5493279229013446</v>
          </cell>
          <cell r="N13">
            <v>5.6378698224852073</v>
          </cell>
          <cell r="O13">
            <v>0.96523278806967661</v>
          </cell>
          <cell r="P13">
            <v>8.3121426421846117E-4</v>
          </cell>
          <cell r="Q13">
            <v>8.0454825867830467E-4</v>
          </cell>
          <cell r="R13">
            <v>0.31931227680003421</v>
          </cell>
          <cell r="S13">
            <v>0.41985803797543603</v>
          </cell>
          <cell r="T13">
            <v>0.46390976646560589</v>
          </cell>
          <cell r="U13">
            <v>0.46872847725558364</v>
          </cell>
          <cell r="V13">
            <v>0.97136734783700807</v>
          </cell>
          <cell r="W13">
            <v>8.3649706609416623E-4</v>
          </cell>
          <cell r="X13">
            <v>8.1071917251898358E-4</v>
          </cell>
          <cell r="Y13">
            <v>108.14491634491634</v>
          </cell>
          <cell r="Z13">
            <v>62.039983568396551</v>
          </cell>
          <cell r="AA13">
            <v>50.572406796855184</v>
          </cell>
          <cell r="AB13">
            <v>47.540828402366863</v>
          </cell>
          <cell r="AC13">
            <v>0.73994552647823897</v>
          </cell>
          <cell r="AD13">
            <v>1.163807555815228E-3</v>
          </cell>
          <cell r="AE13">
            <v>1.165544380872921E-3</v>
          </cell>
          <cell r="AF13">
            <v>8.9845176742296253</v>
          </cell>
          <cell r="AG13">
            <v>5.3869237994459436</v>
          </cell>
          <cell r="AH13">
            <v>4.2277251863080787</v>
          </cell>
          <cell r="AI13">
            <v>3.9525105768915418</v>
          </cell>
          <cell r="AJ13">
            <v>0.74012339547458483</v>
          </cell>
          <cell r="AK13">
            <v>1.1635278655863306E-3</v>
          </cell>
          <cell r="AL13">
            <v>1.1652757682657612E-3</v>
          </cell>
          <cell r="AM13">
            <v>28.137088132869007</v>
          </cell>
          <cell r="AN13">
            <v>12.830345765015716</v>
          </cell>
          <cell r="AO13">
            <v>9.1132489374343031</v>
          </cell>
          <cell r="AP13">
            <v>8.4324097397145259</v>
          </cell>
          <cell r="AQ13">
            <v>0.7687399782462182</v>
          </cell>
          <cell r="AR13">
            <v>1.1202151819548456E-3</v>
          </cell>
          <cell r="AS13">
            <v>1.1270337601524509E-3</v>
          </cell>
          <cell r="AT13"/>
          <cell r="AU13">
            <v>1.6090965173566095E-4</v>
          </cell>
          <cell r="AV13">
            <v>1.6214383450379672E-4</v>
          </cell>
          <cell r="AW13">
            <v>2.3310887617458421E-4</v>
          </cell>
          <cell r="AX13">
            <v>2.3305515365315226E-4</v>
          </cell>
          <cell r="AY13">
            <v>2.254067520304902E-4</v>
          </cell>
          <cell r="AZ13">
            <v>0.17821439464817576</v>
          </cell>
          <cell r="BA13">
            <v>20388.036344002543</v>
          </cell>
          <cell r="BB13">
            <v>20544.413309961245</v>
          </cell>
          <cell r="BC13">
            <v>29536.029618437915</v>
          </cell>
          <cell r="BD13">
            <v>29529.222713397528</v>
          </cell>
          <cell r="BE13">
            <v>28560.132987738743</v>
          </cell>
          <cell r="BF13">
            <v>128557.83497353797</v>
          </cell>
          <cell r="BH13">
            <v>361548</v>
          </cell>
          <cell r="BI13">
            <v>0.35557611983343285</v>
          </cell>
          <cell r="BJ13">
            <v>108464.4</v>
          </cell>
          <cell r="BK13">
            <v>20093.43497353798</v>
          </cell>
          <cell r="BM13">
            <v>0</v>
          </cell>
          <cell r="BN13">
            <v>0</v>
          </cell>
          <cell r="BO13">
            <v>0</v>
          </cell>
          <cell r="BP13">
            <v>108464.4</v>
          </cell>
          <cell r="BQ13">
            <v>0.3</v>
          </cell>
          <cell r="BR13">
            <v>0</v>
          </cell>
          <cell r="BS13"/>
          <cell r="BT13">
            <v>361548</v>
          </cell>
          <cell r="BU13">
            <v>0.3</v>
          </cell>
          <cell r="BV13">
            <v>108464.4</v>
          </cell>
          <cell r="BW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108464.4</v>
          </cell>
          <cell r="CC13">
            <v>0.3</v>
          </cell>
          <cell r="CD13">
            <v>0</v>
          </cell>
          <cell r="CE13"/>
          <cell r="CF13">
            <v>108464.4</v>
          </cell>
          <cell r="CG13">
            <v>0</v>
          </cell>
          <cell r="CH13">
            <v>108464.4</v>
          </cell>
          <cell r="CI13">
            <v>0.3</v>
          </cell>
          <cell r="CL13">
            <v>0</v>
          </cell>
          <cell r="CM13">
            <v>108464.4</v>
          </cell>
        </row>
        <row r="14">
          <cell r="B14" t="str">
            <v>District Three Public Transit</v>
          </cell>
          <cell r="C14"/>
          <cell r="D14">
            <v>2998198</v>
          </cell>
          <cell r="E14">
            <v>177659</v>
          </cell>
          <cell r="F14">
            <v>48302</v>
          </cell>
          <cell r="G14">
            <v>522054</v>
          </cell>
          <cell r="H14">
            <v>5.4625085118843088E-3</v>
          </cell>
          <cell r="I14">
            <v>5.4625085118843097E-3</v>
          </cell>
          <cell r="J14"/>
          <cell r="K14">
            <v>3.0037184124655352</v>
          </cell>
          <cell r="L14">
            <v>3.0190503841343577</v>
          </cell>
          <cell r="M14">
            <v>3.4820277878872212</v>
          </cell>
          <cell r="N14">
            <v>3.6780878638565691</v>
          </cell>
          <cell r="O14">
            <v>0.91361537754777933</v>
          </cell>
          <cell r="P14">
            <v>4.9906317764431421E-3</v>
          </cell>
          <cell r="Q14">
            <v>4.8305283947661674E-3</v>
          </cell>
          <cell r="R14">
            <v>0.30898734605406614</v>
          </cell>
          <cell r="S14">
            <v>0.30702858129224508</v>
          </cell>
          <cell r="T14">
            <v>0.33183650652455993</v>
          </cell>
          <cell r="U14">
            <v>0.34030770763177753</v>
          </cell>
          <cell r="V14">
            <v>0.8841756096309652</v>
          </cell>
          <cell r="W14">
            <v>4.8298167936096457E-3</v>
          </cell>
          <cell r="X14">
            <v>4.6809788498322269E-3</v>
          </cell>
          <cell r="Y14">
            <v>61.145979308425872</v>
          </cell>
          <cell r="Z14">
            <v>58.62645167053779</v>
          </cell>
          <cell r="AA14">
            <v>57.842499625355913</v>
          </cell>
          <cell r="AB14">
            <v>62.071922487681668</v>
          </cell>
          <cell r="AC14">
            <v>0.96211447539197736</v>
          </cell>
          <cell r="AD14">
            <v>5.677607656468131E-3</v>
          </cell>
          <cell r="AE14">
            <v>5.6860807164652331E-3</v>
          </cell>
          <cell r="AF14">
            <v>6.2899817073329398</v>
          </cell>
          <cell r="AG14">
            <v>5.9621384184897162</v>
          </cell>
          <cell r="AH14">
            <v>5.5123778940238459</v>
          </cell>
          <cell r="AI14">
            <v>5.7430802177552511</v>
          </cell>
          <cell r="AJ14">
            <v>0.93411840641972699</v>
          </cell>
          <cell r="AK14">
            <v>5.8477688420902852E-3</v>
          </cell>
          <cell r="AL14">
            <v>5.8565536173673513E-3</v>
          </cell>
          <cell r="AM14">
            <v>20.356761490913378</v>
          </cell>
          <cell r="AN14">
            <v>19.418838446231348</v>
          </cell>
          <cell r="AO14">
            <v>16.611728322953109</v>
          </cell>
          <cell r="AP14">
            <v>16.876139120449849</v>
          </cell>
          <cell r="AQ14">
            <v>1.0632527411646482</v>
          </cell>
          <cell r="AR14">
            <v>5.1375447251618437E-3</v>
          </cell>
          <cell r="AS14">
            <v>5.1688161728412792E-3</v>
          </cell>
          <cell r="AT14"/>
          <cell r="AU14">
            <v>9.6610567895323357E-4</v>
          </cell>
          <cell r="AV14">
            <v>9.3619576996644544E-4</v>
          </cell>
          <cell r="AW14">
            <v>1.1372161432930466E-3</v>
          </cell>
          <cell r="AX14">
            <v>1.1713107234734704E-3</v>
          </cell>
          <cell r="AY14">
            <v>1.0337632345682559E-3</v>
          </cell>
          <cell r="AZ14">
            <v>-3.9893203123758124E-2</v>
          </cell>
          <cell r="BA14">
            <v>122410.29349192552</v>
          </cell>
          <cell r="BB14">
            <v>118620.5623919526</v>
          </cell>
          <cell r="BC14">
            <v>144090.8224606307</v>
          </cell>
          <cell r="BD14">
            <v>148410.77177600129</v>
          </cell>
          <cell r="BE14">
            <v>130982.83521298713</v>
          </cell>
          <cell r="BF14">
            <v>664515.28533349733</v>
          </cell>
          <cell r="BH14">
            <v>2998198</v>
          </cell>
          <cell r="BI14">
            <v>0.22163822580546627</v>
          </cell>
          <cell r="BJ14">
            <v>664515.28533349733</v>
          </cell>
          <cell r="BK14">
            <v>0</v>
          </cell>
          <cell r="BM14">
            <v>664515.28533349733</v>
          </cell>
          <cell r="BN14">
            <v>5.7380268809238584E-3</v>
          </cell>
          <cell r="BO14">
            <v>16497.29433066829</v>
          </cell>
          <cell r="BP14">
            <v>681012.57966416562</v>
          </cell>
          <cell r="BQ14">
            <v>0.22714062902589008</v>
          </cell>
          <cell r="BR14">
            <v>0</v>
          </cell>
          <cell r="BS14"/>
          <cell r="BT14">
            <v>2998198</v>
          </cell>
          <cell r="BU14">
            <v>0.22714062902589008</v>
          </cell>
          <cell r="BV14">
            <v>681012.57966416562</v>
          </cell>
          <cell r="BW14">
            <v>0</v>
          </cell>
          <cell r="BY14">
            <v>681012.57966416562</v>
          </cell>
          <cell r="BZ14">
            <v>5.7380268809238584E-3</v>
          </cell>
          <cell r="CA14">
            <v>0</v>
          </cell>
          <cell r="CB14">
            <v>681012.57966416562</v>
          </cell>
          <cell r="CC14">
            <v>0.22714062902589008</v>
          </cell>
          <cell r="CD14">
            <v>0</v>
          </cell>
          <cell r="CE14"/>
          <cell r="CF14">
            <v>899459.4</v>
          </cell>
          <cell r="CG14">
            <v>0</v>
          </cell>
          <cell r="CH14">
            <v>681012.57966416562</v>
          </cell>
          <cell r="CI14">
            <v>0.22714062902589008</v>
          </cell>
          <cell r="CL14">
            <v>0</v>
          </cell>
          <cell r="CM14">
            <v>681012.57966416562</v>
          </cell>
        </row>
        <row r="15">
          <cell r="B15" t="str">
            <v>Mountain Empire Older Citizens, Inc.</v>
          </cell>
          <cell r="C15"/>
          <cell r="D15">
            <v>2083701</v>
          </cell>
          <cell r="E15">
            <v>130896</v>
          </cell>
          <cell r="F15">
            <v>44163</v>
          </cell>
          <cell r="G15">
            <v>745438</v>
          </cell>
          <cell r="H15">
            <v>4.6441911015440108E-3</v>
          </cell>
          <cell r="I15">
            <v>4.6441911015440117E-3</v>
          </cell>
          <cell r="J15"/>
          <cell r="K15">
            <v>1.3455313359222201</v>
          </cell>
          <cell r="L15">
            <v>2.5156324194636741</v>
          </cell>
          <cell r="M15">
            <v>2.7827345119658662</v>
          </cell>
          <cell r="N15">
            <v>2.9639290809048298</v>
          </cell>
          <cell r="O15">
            <v>1.1279060361303517</v>
          </cell>
          <cell r="P15">
            <v>5.2382111763743574E-3</v>
          </cell>
          <cell r="Q15">
            <v>5.0701652533643102E-3</v>
          </cell>
          <cell r="R15">
            <v>8.6154544217069737E-2</v>
          </cell>
          <cell r="S15">
            <v>0.15736959607772016</v>
          </cell>
          <cell r="T15">
            <v>0.16460220997236286</v>
          </cell>
          <cell r="U15">
            <v>0.17559609249863839</v>
          </cell>
          <cell r="V15">
            <v>1.108030754011484</v>
          </cell>
          <cell r="W15">
            <v>5.1459065680172352E-3</v>
          </cell>
          <cell r="X15">
            <v>4.9873278506075451E-3</v>
          </cell>
          <cell r="Y15">
            <v>42.25856741971144</v>
          </cell>
          <cell r="Z15">
            <v>54.154224876915002</v>
          </cell>
          <cell r="AA15">
            <v>45.459899034704179</v>
          </cell>
          <cell r="AB15">
            <v>48.817313135430112</v>
          </cell>
          <cell r="AC15">
            <v>1.024095279002766</v>
          </cell>
          <cell r="AD15">
            <v>4.5349209167982775E-3</v>
          </cell>
          <cell r="AE15">
            <v>4.5416886716934876E-3</v>
          </cell>
          <cell r="AF15">
            <v>2.7058214982530968</v>
          </cell>
          <cell r="AG15">
            <v>3.3877081678725758</v>
          </cell>
          <cell r="AH15">
            <v>2.689009610531103</v>
          </cell>
          <cell r="AI15">
            <v>2.8921506550511245</v>
          </cell>
          <cell r="AJ15">
            <v>1.0075978281171294</v>
          </cell>
          <cell r="AK15">
            <v>4.6091714094129051E-3</v>
          </cell>
          <cell r="AL15">
            <v>4.6160955092086654E-3</v>
          </cell>
          <cell r="AM15">
            <v>31.406602203543365</v>
          </cell>
          <cell r="AN15">
            <v>21.527081801744522</v>
          </cell>
          <cell r="AO15">
            <v>16.33641256081917</v>
          </cell>
          <cell r="AP15">
            <v>16.470472741718616</v>
          </cell>
          <cell r="AQ15">
            <v>0.91200498953668374</v>
          </cell>
          <cell r="AR15">
            <v>5.0922869445082213E-3</v>
          </cell>
          <cell r="AS15">
            <v>5.1232829150102289E-3</v>
          </cell>
          <cell r="AT15"/>
          <cell r="AU15">
            <v>1.0140330506728621E-3</v>
          </cell>
          <cell r="AV15">
            <v>9.9746557012150914E-4</v>
          </cell>
          <cell r="AW15">
            <v>9.0833773433869754E-4</v>
          </cell>
          <cell r="AX15">
            <v>9.2321910184173315E-4</v>
          </cell>
          <cell r="AY15">
            <v>1.0246565830020458E-3</v>
          </cell>
          <cell r="AZ15">
            <v>4.8129143169522957E-2</v>
          </cell>
          <cell r="BA15">
            <v>128482.92484717535</v>
          </cell>
          <cell r="BB15">
            <v>126383.74439425614</v>
          </cell>
          <cell r="BC15">
            <v>115090.81363714147</v>
          </cell>
          <cell r="BD15">
            <v>116976.35535715446</v>
          </cell>
          <cell r="BE15">
            <v>129828.97811926184</v>
          </cell>
          <cell r="BF15">
            <v>616762.81635498919</v>
          </cell>
          <cell r="BH15">
            <v>2155919</v>
          </cell>
          <cell r="BI15">
            <v>0.28607884449971877</v>
          </cell>
          <cell r="BJ15">
            <v>616762.81635498919</v>
          </cell>
          <cell r="BK15">
            <v>0</v>
          </cell>
          <cell r="BM15">
            <v>616762.81635498919</v>
          </cell>
          <cell r="BN15">
            <v>5.3256888103380947E-3</v>
          </cell>
          <cell r="BO15">
            <v>15311.788815382524</v>
          </cell>
          <cell r="BP15">
            <v>632074.60517037171</v>
          </cell>
          <cell r="BQ15">
            <v>0.29318105419098384</v>
          </cell>
          <cell r="BR15">
            <v>0</v>
          </cell>
          <cell r="BS15"/>
          <cell r="BT15">
            <v>2155919</v>
          </cell>
          <cell r="BU15">
            <v>0.29318105419098384</v>
          </cell>
          <cell r="BV15">
            <v>632074.60517037171</v>
          </cell>
          <cell r="BW15">
            <v>0</v>
          </cell>
          <cell r="BY15">
            <v>632074.60517037171</v>
          </cell>
          <cell r="BZ15">
            <v>5.3256888103380947E-3</v>
          </cell>
          <cell r="CA15">
            <v>0</v>
          </cell>
          <cell r="CB15">
            <v>632074.60517037171</v>
          </cell>
          <cell r="CC15">
            <v>0.29318105419098384</v>
          </cell>
          <cell r="CD15">
            <v>0</v>
          </cell>
          <cell r="CE15"/>
          <cell r="CF15">
            <v>646775.69999999995</v>
          </cell>
          <cell r="CG15">
            <v>0</v>
          </cell>
          <cell r="CH15">
            <v>632074.60517037171</v>
          </cell>
          <cell r="CI15">
            <v>0.29318105419098384</v>
          </cell>
          <cell r="CL15">
            <v>0</v>
          </cell>
          <cell r="CM15">
            <v>632074.60517037171</v>
          </cell>
        </row>
        <row r="16">
          <cell r="B16" t="str">
            <v>Town of Bluefield-Graham Transit</v>
          </cell>
          <cell r="C16"/>
          <cell r="D16">
            <v>447645</v>
          </cell>
          <cell r="E16">
            <v>33235</v>
          </cell>
          <cell r="F16">
            <v>8168</v>
          </cell>
          <cell r="G16">
            <v>126970</v>
          </cell>
          <cell r="H16">
            <v>9.481790956704355E-4</v>
          </cell>
          <cell r="I16">
            <v>9.4817909567043561E-4</v>
          </cell>
          <cell r="J16"/>
          <cell r="K16">
            <v>3.8071505958829901</v>
          </cell>
          <cell r="L16">
            <v>3.650582779796967</v>
          </cell>
          <cell r="M16">
            <v>3.815299877600979</v>
          </cell>
          <cell r="N16">
            <v>4.0689275220372183</v>
          </cell>
          <cell r="O16">
            <v>0.87439593763301104</v>
          </cell>
          <cell r="P16">
            <v>8.2908394940277102E-4</v>
          </cell>
          <cell r="Q16">
            <v>8.0248628603276587E-4</v>
          </cell>
          <cell r="R16">
            <v>0.2437813629741542</v>
          </cell>
          <cell r="S16">
            <v>0.22496138399752857</v>
          </cell>
          <cell r="T16">
            <v>0.23446890772737189</v>
          </cell>
          <cell r="U16">
            <v>0.2617547452154052</v>
          </cell>
          <cell r="V16">
            <v>0.88282330624614769</v>
          </cell>
          <cell r="W16">
            <v>8.3707460415325633E-4</v>
          </cell>
          <cell r="X16">
            <v>8.1127891288908433E-4</v>
          </cell>
          <cell r="Y16">
            <v>43.683519922956542</v>
          </cell>
          <cell r="Z16">
            <v>59.664118310565236</v>
          </cell>
          <cell r="AA16">
            <v>55.822399020807836</v>
          </cell>
          <cell r="AB16">
            <v>54.804725759059743</v>
          </cell>
          <cell r="AC16">
            <v>1.0516045914118244</v>
          </cell>
          <cell r="AD16">
            <v>9.0164982486189453E-4</v>
          </cell>
          <cell r="AE16">
            <v>9.029954150337917E-4</v>
          </cell>
          <cell r="AF16">
            <v>2.7971649027603269</v>
          </cell>
          <cell r="AG16">
            <v>3.6767068273092369</v>
          </cell>
          <cell r="AH16">
            <v>3.4305604657635227</v>
          </cell>
          <cell r="AI16">
            <v>3.5255965976214854</v>
          </cell>
          <cell r="AJ16">
            <v>1.0555482262779829</v>
          </cell>
          <cell r="AK16">
            <v>8.9828116997918081E-4</v>
          </cell>
          <cell r="AL16">
            <v>8.996306074188226E-4</v>
          </cell>
          <cell r="AM16">
            <v>11.474071966103839</v>
          </cell>
          <cell r="AN16">
            <v>16.343724251579236</v>
          </cell>
          <cell r="AO16">
            <v>14.631195662635141</v>
          </cell>
          <cell r="AP16">
            <v>13.469083797201746</v>
          </cell>
          <cell r="AQ16">
            <v>1.2439563207545858</v>
          </cell>
          <cell r="AR16">
            <v>7.6222860871454773E-4</v>
          </cell>
          <cell r="AS16">
            <v>7.6686817748373927E-4</v>
          </cell>
          <cell r="AT16"/>
          <cell r="AU16">
            <v>1.6049725720655318E-4</v>
          </cell>
          <cell r="AV16">
            <v>1.6225578257781688E-4</v>
          </cell>
          <cell r="AW16">
            <v>1.8059908300675835E-4</v>
          </cell>
          <cell r="AX16">
            <v>1.7992612148376452E-4</v>
          </cell>
          <cell r="AY16">
            <v>1.5337363549674786E-4</v>
          </cell>
          <cell r="AZ16">
            <v>-0.11762252132329118</v>
          </cell>
          <cell r="BA16">
            <v>20335.783949215627</v>
          </cell>
          <cell r="BB16">
            <v>20558.597676014771</v>
          </cell>
          <cell r="BC16">
            <v>22882.783153891443</v>
          </cell>
          <cell r="BD16">
            <v>22797.515652278471</v>
          </cell>
          <cell r="BE16">
            <v>19433.186393669188</v>
          </cell>
          <cell r="BF16">
            <v>106007.8668250695</v>
          </cell>
          <cell r="BH16">
            <v>447645</v>
          </cell>
          <cell r="BI16">
            <v>0.23681235538221024</v>
          </cell>
          <cell r="BJ16">
            <v>106007.8668250695</v>
          </cell>
          <cell r="BK16">
            <v>0</v>
          </cell>
          <cell r="BM16">
            <v>106007.8668250695</v>
          </cell>
          <cell r="BN16">
            <v>9.15367942403872E-4</v>
          </cell>
          <cell r="BO16">
            <v>2631.757340994458</v>
          </cell>
          <cell r="BP16">
            <v>108639.62416606396</v>
          </cell>
          <cell r="BQ16">
            <v>0.24269147240796604</v>
          </cell>
          <cell r="BR16">
            <v>0</v>
          </cell>
          <cell r="BS16"/>
          <cell r="BT16">
            <v>447645</v>
          </cell>
          <cell r="BU16">
            <v>0.24269147240796604</v>
          </cell>
          <cell r="BV16">
            <v>108639.62416606396</v>
          </cell>
          <cell r="BW16">
            <v>0</v>
          </cell>
          <cell r="BY16">
            <v>108639.62416606396</v>
          </cell>
          <cell r="BZ16">
            <v>9.15367942403872E-4</v>
          </cell>
          <cell r="CA16">
            <v>0</v>
          </cell>
          <cell r="CB16">
            <v>108639.62416606396</v>
          </cell>
          <cell r="CC16">
            <v>0.24269147240796604</v>
          </cell>
          <cell r="CD16">
            <v>0</v>
          </cell>
          <cell r="CE16"/>
          <cell r="CF16">
            <v>134293.5</v>
          </cell>
          <cell r="CG16">
            <v>0</v>
          </cell>
          <cell r="CH16">
            <v>108639.62416606396</v>
          </cell>
          <cell r="CI16">
            <v>0.24269147240796604</v>
          </cell>
          <cell r="CL16">
            <v>566</v>
          </cell>
          <cell r="CM16">
            <v>109205.62416606396</v>
          </cell>
        </row>
        <row r="17">
          <cell r="B17" t="str">
            <v>Charlottesville Area Transit</v>
          </cell>
          <cell r="C17"/>
          <cell r="D17">
            <v>14466572</v>
          </cell>
          <cell r="E17">
            <v>1476869</v>
          </cell>
          <cell r="F17">
            <v>128069</v>
          </cell>
          <cell r="G17">
            <v>1380275</v>
          </cell>
          <cell r="H17">
            <v>2.5890841043377157E-2</v>
          </cell>
          <cell r="I17">
            <v>2.5890841043377161E-2</v>
          </cell>
          <cell r="J17"/>
          <cell r="K17">
            <v>6.5903135821469796</v>
          </cell>
          <cell r="L17">
            <v>13.15305492915798</v>
          </cell>
          <cell r="M17">
            <v>10.956321576014718</v>
          </cell>
          <cell r="N17">
            <v>11.531822689331532</v>
          </cell>
          <cell r="O17">
            <v>1.0801586609984979</v>
          </cell>
          <cell r="P17">
            <v>2.7966216193539225E-2</v>
          </cell>
          <cell r="Q17">
            <v>2.7069038043384029E-2</v>
          </cell>
          <cell r="R17">
            <v>0.65665071513529727</v>
          </cell>
          <cell r="S17">
            <v>1.0437083935072138</v>
          </cell>
          <cell r="T17">
            <v>1.0015167534877283</v>
          </cell>
          <cell r="U17">
            <v>1.0699817065439858</v>
          </cell>
          <cell r="V17">
            <v>1.0214923032337606</v>
          </cell>
          <cell r="W17">
            <v>2.6447294850058516E-2</v>
          </cell>
          <cell r="X17">
            <v>2.5632282365699682E-2</v>
          </cell>
          <cell r="Y17">
            <v>123.85324163139668</v>
          </cell>
          <cell r="Z17">
            <v>137.78897374803216</v>
          </cell>
          <cell r="AA17">
            <v>129.86446660739594</v>
          </cell>
          <cell r="AB17">
            <v>113.07535781492788</v>
          </cell>
          <cell r="AC17">
            <v>0.93434210903999049</v>
          </cell>
          <cell r="AD17">
            <v>2.7710236746130656E-2</v>
          </cell>
          <cell r="AE17">
            <v>2.7751590519179133E-2</v>
          </cell>
          <cell r="AF17">
            <v>12.340584203670993</v>
          </cell>
          <cell r="AG17">
            <v>10.933696332002826</v>
          </cell>
          <cell r="AH17">
            <v>11.870903759778434</v>
          </cell>
          <cell r="AI17">
            <v>10.491712158808934</v>
          </cell>
          <cell r="AJ17">
            <v>0.91149178626529148</v>
          </cell>
          <cell r="AK17">
            <v>2.8404908780869233E-2</v>
          </cell>
          <cell r="AL17">
            <v>2.8447579882813188E-2</v>
          </cell>
          <cell r="AM17">
            <v>18.793224341693318</v>
          </cell>
          <cell r="AN17">
            <v>10.475815275626847</v>
          </cell>
          <cell r="AO17">
            <v>11.852925793241749</v>
          </cell>
          <cell r="AP17">
            <v>9.8055061078538444</v>
          </cell>
          <cell r="AQ17">
            <v>0.93027130136651037</v>
          </cell>
          <cell r="AR17">
            <v>2.7831494968559314E-2</v>
          </cell>
          <cell r="AS17">
            <v>2.800090101469789E-2</v>
          </cell>
          <cell r="AT17"/>
          <cell r="AU17">
            <v>5.4138076086768065E-3</v>
          </cell>
          <cell r="AV17">
            <v>5.1264564731399367E-3</v>
          </cell>
          <cell r="AW17">
            <v>5.5503181038358274E-3</v>
          </cell>
          <cell r="AX17">
            <v>5.6895159765626381E-3</v>
          </cell>
          <cell r="AY17">
            <v>5.6001802029395781E-3</v>
          </cell>
          <cell r="AZ17">
            <v>5.752757584360594E-2</v>
          </cell>
          <cell r="BA17">
            <v>685955.78384859802</v>
          </cell>
          <cell r="BB17">
            <v>649546.99586339772</v>
          </cell>
          <cell r="BC17">
            <v>703252.32825484686</v>
          </cell>
          <cell r="BD17">
            <v>720889.37648377614</v>
          </cell>
          <cell r="BE17">
            <v>709570.0989898527</v>
          </cell>
          <cell r="BF17">
            <v>3469214.5834404714</v>
          </cell>
          <cell r="BH17">
            <v>14481448</v>
          </cell>
          <cell r="BI17">
            <v>0.23956268623417157</v>
          </cell>
          <cell r="BJ17">
            <v>3469214.5834404714</v>
          </cell>
          <cell r="BK17">
            <v>0</v>
          </cell>
          <cell r="BM17">
            <v>3469214.5834404714</v>
          </cell>
          <cell r="BN17">
            <v>2.9956341072702536E-2</v>
          </cell>
          <cell r="BO17">
            <v>86126.918887262538</v>
          </cell>
          <cell r="BP17">
            <v>3555341.5023277341</v>
          </cell>
          <cell r="BQ17">
            <v>0.24551008313034264</v>
          </cell>
          <cell r="BR17">
            <v>0</v>
          </cell>
          <cell r="BS17"/>
          <cell r="BT17">
            <v>14481448</v>
          </cell>
          <cell r="BU17">
            <v>0.24551008313034264</v>
          </cell>
          <cell r="BV17">
            <v>3555341.5023277341</v>
          </cell>
          <cell r="BW17">
            <v>0</v>
          </cell>
          <cell r="BY17">
            <v>3555341.5023277341</v>
          </cell>
          <cell r="BZ17">
            <v>2.9956341072702536E-2</v>
          </cell>
          <cell r="CA17">
            <v>0</v>
          </cell>
          <cell r="CB17">
            <v>3555341.5023277341</v>
          </cell>
          <cell r="CC17">
            <v>0.24551008313034264</v>
          </cell>
          <cell r="CD17">
            <v>0</v>
          </cell>
          <cell r="CE17"/>
          <cell r="CF17">
            <v>4344434.3999999994</v>
          </cell>
          <cell r="CG17">
            <v>0</v>
          </cell>
          <cell r="CH17">
            <v>3555341.5023277341</v>
          </cell>
          <cell r="CI17">
            <v>0.24551008313034264</v>
          </cell>
          <cell r="CL17">
            <v>0</v>
          </cell>
          <cell r="CM17">
            <v>3555341.5023277341</v>
          </cell>
        </row>
        <row r="18">
          <cell r="B18" t="str">
            <v>FRED / Fredericksburg Regional Transit</v>
          </cell>
          <cell r="C18"/>
          <cell r="D18">
            <v>5072179</v>
          </cell>
          <cell r="E18">
            <v>332441</v>
          </cell>
          <cell r="F18">
            <v>38032</v>
          </cell>
          <cell r="G18">
            <v>554895</v>
          </cell>
          <cell r="H18">
            <v>7.99103208411177E-3</v>
          </cell>
          <cell r="I18">
            <v>7.9910320841117717E-3</v>
          </cell>
          <cell r="J18"/>
          <cell r="K18">
            <v>3.4815432129025932</v>
          </cell>
          <cell r="L18">
            <v>4.4669216251117509</v>
          </cell>
          <cell r="M18">
            <v>7.7552782335063606</v>
          </cell>
          <cell r="N18">
            <v>8.7410864535128319</v>
          </cell>
          <cell r="O18">
            <v>1.1714187434979995</v>
          </cell>
          <cell r="P18">
            <v>9.3608447632224107E-3</v>
          </cell>
          <cell r="Q18">
            <v>9.0605415212522637E-3</v>
          </cell>
          <cell r="R18">
            <v>0.23255357049300571</v>
          </cell>
          <cell r="S18">
            <v>0.30066694525699961</v>
          </cell>
          <cell r="T18">
            <v>0.52558774529639718</v>
          </cell>
          <cell r="U18">
            <v>0.59910613719712735</v>
          </cell>
          <cell r="V18">
            <v>1.1856531510578938</v>
          </cell>
          <cell r="W18">
            <v>9.4745923707318502E-3</v>
          </cell>
          <cell r="X18">
            <v>9.1826188017851435E-3</v>
          </cell>
          <cell r="Y18">
            <v>97.854576204715912</v>
          </cell>
          <cell r="Z18">
            <v>112.67122777391477</v>
          </cell>
          <cell r="AA18">
            <v>122.86288695839272</v>
          </cell>
          <cell r="AB18">
            <v>138.48985065208245</v>
          </cell>
          <cell r="AC18">
            <v>1.0747196303588169</v>
          </cell>
          <cell r="AD18">
            <v>7.4354574517670287E-3</v>
          </cell>
          <cell r="AE18">
            <v>7.4465538643595664E-3</v>
          </cell>
          <cell r="AF18">
            <v>6.5363057971394145</v>
          </cell>
          <cell r="AG18">
            <v>7.5838612620142083</v>
          </cell>
          <cell r="AH18">
            <v>8.3266165046243135</v>
          </cell>
          <cell r="AI18">
            <v>9.4919687508447552</v>
          </cell>
          <cell r="AJ18">
            <v>1.0897309117503498</v>
          </cell>
          <cell r="AK18">
            <v>7.3330324008854626E-3</v>
          </cell>
          <cell r="AL18">
            <v>7.3440484043357972E-3</v>
          </cell>
          <cell r="AM18">
            <v>28.106667136018022</v>
          </cell>
          <cell r="AN18">
            <v>25.223461978940815</v>
          </cell>
          <cell r="AO18">
            <v>15.842486015210735</v>
          </cell>
          <cell r="AP18">
            <v>15.843551186526332</v>
          </cell>
          <cell r="AQ18">
            <v>0.95162230758164368</v>
          </cell>
          <cell r="AR18">
            <v>8.3972727629928832E-3</v>
          </cell>
          <cell r="AS18">
            <v>8.448385675854115E-3</v>
          </cell>
          <cell r="AT18"/>
          <cell r="AU18">
            <v>1.8121083042504527E-3</v>
          </cell>
          <cell r="AV18">
            <v>1.8365237603570287E-3</v>
          </cell>
          <cell r="AW18">
            <v>1.4893107728719134E-3</v>
          </cell>
          <cell r="AX18">
            <v>1.4688096808671595E-3</v>
          </cell>
          <cell r="AY18">
            <v>1.689677135170823E-3</v>
          </cell>
          <cell r="AZ18">
            <v>3.8217537633569748E-2</v>
          </cell>
          <cell r="BA18">
            <v>229602.94530386577</v>
          </cell>
          <cell r="BB18">
            <v>232696.50247142473</v>
          </cell>
          <cell r="BC18">
            <v>188702.92637702453</v>
          </cell>
          <cell r="BD18">
            <v>186105.33820020524</v>
          </cell>
          <cell r="BE18">
            <v>214090.32006411441</v>
          </cell>
          <cell r="BF18">
            <v>1051198.0324166347</v>
          </cell>
          <cell r="BH18">
            <v>5267046</v>
          </cell>
          <cell r="BI18">
            <v>0.1995801882908626</v>
          </cell>
          <cell r="BJ18">
            <v>1051198.0324166347</v>
          </cell>
          <cell r="BK18">
            <v>0</v>
          </cell>
          <cell r="BM18">
            <v>1051198.0324166347</v>
          </cell>
          <cell r="BN18">
            <v>9.0769959703090441E-3</v>
          </cell>
          <cell r="BO18">
            <v>26097.10223880448</v>
          </cell>
          <cell r="BP18">
            <v>1077295.1346554393</v>
          </cell>
          <cell r="BQ18">
            <v>0.20453497741531768</v>
          </cell>
          <cell r="BR18">
            <v>0</v>
          </cell>
          <cell r="BS18"/>
          <cell r="BT18">
            <v>5267046</v>
          </cell>
          <cell r="BU18">
            <v>0.20453497741531768</v>
          </cell>
          <cell r="BV18">
            <v>1077295.1346554393</v>
          </cell>
          <cell r="BW18">
            <v>0</v>
          </cell>
          <cell r="BY18">
            <v>1077295.1346554393</v>
          </cell>
          <cell r="BZ18">
            <v>9.0769959703090441E-3</v>
          </cell>
          <cell r="CA18">
            <v>0</v>
          </cell>
          <cell r="CB18">
            <v>1077295.1346554393</v>
          </cell>
          <cell r="CC18">
            <v>0.20453497741531768</v>
          </cell>
          <cell r="CD18">
            <v>0</v>
          </cell>
          <cell r="CE18"/>
          <cell r="CF18">
            <v>1580113.8</v>
          </cell>
          <cell r="CG18">
            <v>0</v>
          </cell>
          <cell r="CH18">
            <v>1077295.1346554393</v>
          </cell>
          <cell r="CI18">
            <v>0.20453497741531768</v>
          </cell>
          <cell r="CL18">
            <v>0</v>
          </cell>
          <cell r="CM18">
            <v>1077295.1346554393</v>
          </cell>
        </row>
        <row r="19">
          <cell r="B19" t="str">
            <v>City of Suffolk</v>
          </cell>
          <cell r="C19"/>
          <cell r="D19">
            <v>2126888</v>
          </cell>
          <cell r="E19">
            <v>77878</v>
          </cell>
          <cell r="F19">
            <v>24727.8</v>
          </cell>
          <cell r="G19">
            <v>463883</v>
          </cell>
          <cell r="H19">
            <v>3.5409799760936223E-3</v>
          </cell>
          <cell r="I19">
            <v>3.5409799760936227E-3</v>
          </cell>
          <cell r="J19"/>
          <cell r="K19">
            <v>5.361326293975428</v>
          </cell>
          <cell r="L19">
            <v>3.4816356739753909</v>
          </cell>
          <cell r="M19">
            <v>3.3501561802766622</v>
          </cell>
          <cell r="N19">
            <v>3.1494107846229751</v>
          </cell>
          <cell r="O19">
            <v>0.73134212552263556</v>
          </cell>
          <cell r="P19">
            <v>2.5896678221494014E-3</v>
          </cell>
          <cell r="Q19">
            <v>2.5065892472677133E-3</v>
          </cell>
          <cell r="R19">
            <v>0.29459705668644059</v>
          </cell>
          <cell r="S19">
            <v>0.18135424146189841</v>
          </cell>
          <cell r="T19">
            <v>0.16980829081171064</v>
          </cell>
          <cell r="U19">
            <v>0.16788284977030846</v>
          </cell>
          <cell r="V19">
            <v>0.73210443369450051</v>
          </cell>
          <cell r="W19">
            <v>2.5923671401215874E-3</v>
          </cell>
          <cell r="X19">
            <v>2.5124795147436737E-3</v>
          </cell>
          <cell r="Y19">
            <v>71.305225243005879</v>
          </cell>
          <cell r="Z19">
            <v>79.874363955962622</v>
          </cell>
          <cell r="AA19">
            <v>87.91722445336903</v>
          </cell>
          <cell r="AB19">
            <v>86.01201886136252</v>
          </cell>
          <cell r="AC19">
            <v>1.0196484156589218</v>
          </cell>
          <cell r="AD19">
            <v>3.4727460188376347E-3</v>
          </cell>
          <cell r="AE19">
            <v>3.4779286216437282E-3</v>
          </cell>
          <cell r="AF19">
            <v>3.9181180795800845</v>
          </cell>
          <cell r="AG19">
            <v>4.1605601630756928</v>
          </cell>
          <cell r="AH19">
            <v>4.456232131871313</v>
          </cell>
          <cell r="AI19">
            <v>4.5849664678377957</v>
          </cell>
          <cell r="AJ19">
            <v>1.0128076498369882</v>
          </cell>
          <cell r="AK19">
            <v>3.4962018470768314E-3</v>
          </cell>
          <cell r="AL19">
            <v>3.5014539950975893E-3</v>
          </cell>
          <cell r="AM19">
            <v>13.299922693220932</v>
          </cell>
          <cell r="AN19">
            <v>22.941620386363031</v>
          </cell>
          <cell r="AO19">
            <v>26.242724136553139</v>
          </cell>
          <cell r="AP19">
            <v>27.310511312565808</v>
          </cell>
          <cell r="AQ19">
            <v>1.5025184960180014</v>
          </cell>
          <cell r="AR19">
            <v>2.3566964303454395E-3</v>
          </cell>
          <cell r="AS19">
            <v>2.3710412804752918E-3</v>
          </cell>
          <cell r="AT19"/>
          <cell r="AU19">
            <v>5.013178494535427E-4</v>
          </cell>
          <cell r="AV19">
            <v>5.0249590294873471E-4</v>
          </cell>
          <cell r="AW19">
            <v>6.9558572432874572E-4</v>
          </cell>
          <cell r="AX19">
            <v>7.0029079901951787E-4</v>
          </cell>
          <cell r="AY19">
            <v>4.7420825609505841E-4</v>
          </cell>
          <cell r="AZ19">
            <v>-0.18838893434916892</v>
          </cell>
          <cell r="BA19">
            <v>63519.41244237285</v>
          </cell>
          <cell r="BB19">
            <v>63668.677556156144</v>
          </cell>
          <cell r="BC19">
            <v>88134.098079343836</v>
          </cell>
          <cell r="BD19">
            <v>88730.253951673338</v>
          </cell>
          <cell r="BE19">
            <v>60084.494967242827</v>
          </cell>
          <cell r="BF19">
            <v>364136.93699678901</v>
          </cell>
          <cell r="BH19">
            <v>2126888</v>
          </cell>
          <cell r="BI19">
            <v>0.17120644669432006</v>
          </cell>
          <cell r="BJ19">
            <v>364136.93699678901</v>
          </cell>
          <cell r="BK19">
            <v>0</v>
          </cell>
          <cell r="BM19">
            <v>364136.93699678901</v>
          </cell>
          <cell r="BN19">
            <v>3.1442881434642109E-3</v>
          </cell>
          <cell r="BO19">
            <v>9040.0843425132043</v>
          </cell>
          <cell r="BP19">
            <v>373177.02133930218</v>
          </cell>
          <cell r="BQ19">
            <v>0.17545682769346679</v>
          </cell>
          <cell r="BR19">
            <v>0</v>
          </cell>
          <cell r="BS19"/>
          <cell r="BT19">
            <v>2126888</v>
          </cell>
          <cell r="BU19">
            <v>0.17545682769346679</v>
          </cell>
          <cell r="BV19">
            <v>373177.02133930218</v>
          </cell>
          <cell r="BW19">
            <v>0</v>
          </cell>
          <cell r="BY19">
            <v>373177.02133930218</v>
          </cell>
          <cell r="BZ19">
            <v>3.1442881434642104E-3</v>
          </cell>
          <cell r="CA19">
            <v>0</v>
          </cell>
          <cell r="CB19">
            <v>373177.02133930218</v>
          </cell>
          <cell r="CC19">
            <v>0.17545682769346679</v>
          </cell>
          <cell r="CD19">
            <v>0</v>
          </cell>
          <cell r="CE19"/>
          <cell r="CF19">
            <v>638066.4</v>
          </cell>
          <cell r="CG19">
            <v>0</v>
          </cell>
          <cell r="CH19">
            <v>373177.02133930218</v>
          </cell>
          <cell r="CI19">
            <v>0.17545682769346679</v>
          </cell>
          <cell r="CL19">
            <v>0</v>
          </cell>
          <cell r="CM19">
            <v>373177.02133930218</v>
          </cell>
        </row>
        <row r="20">
          <cell r="B20" t="str">
            <v>Greensville County</v>
          </cell>
          <cell r="C20"/>
          <cell r="D20">
            <v>225862</v>
          </cell>
          <cell r="E20">
            <v>11821</v>
          </cell>
          <cell r="F20">
            <v>2826</v>
          </cell>
          <cell r="G20">
            <v>53914</v>
          </cell>
          <cell r="H20">
            <v>4.0741375187906012E-4</v>
          </cell>
          <cell r="I20">
            <v>4.0741375187906018E-4</v>
          </cell>
          <cell r="J20"/>
          <cell r="K20">
            <v>1.3415032679738561</v>
          </cell>
          <cell r="L20">
            <v>1.759546925566343</v>
          </cell>
          <cell r="M20">
            <v>3.4945302445302446</v>
          </cell>
          <cell r="N20">
            <v>4.1829440905874025</v>
          </cell>
          <cell r="O20">
            <v>1.2707041716788596</v>
          </cell>
          <cell r="P20">
            <v>5.1770235411205759E-4</v>
          </cell>
          <cell r="Q20">
            <v>5.0109405654406023E-4</v>
          </cell>
          <cell r="R20">
            <v>8.4451119157340354E-2</v>
          </cell>
          <cell r="S20">
            <v>0.10382691059084138</v>
          </cell>
          <cell r="T20">
            <v>0.19750504628030041</v>
          </cell>
          <cell r="U20">
            <v>0.21925659383462551</v>
          </cell>
          <cell r="V20">
            <v>1.2027212402786347</v>
          </cell>
          <cell r="W20">
            <v>4.900051729665552E-4</v>
          </cell>
          <cell r="X20">
            <v>4.7490493925145109E-4</v>
          </cell>
          <cell r="Y20">
            <v>49.306209150326801</v>
          </cell>
          <cell r="Z20">
            <v>54.219417475728157</v>
          </cell>
          <cell r="AA20">
            <v>62.816602316602314</v>
          </cell>
          <cell r="AB20">
            <v>79.922859164897375</v>
          </cell>
          <cell r="AC20">
            <v>1.1250369583058519</v>
          </cell>
          <cell r="AD20">
            <v>3.6213366047331297E-4</v>
          </cell>
          <cell r="AE20">
            <v>3.6267409588516553E-4</v>
          </cell>
          <cell r="AF20">
            <v>3.103954081632653</v>
          </cell>
          <cell r="AG20">
            <v>3.1993660008402398</v>
          </cell>
          <cell r="AH20">
            <v>3.5502900474623118</v>
          </cell>
          <cell r="AI20">
            <v>4.1893014801350299</v>
          </cell>
          <cell r="AJ20">
            <v>1.0625424592304593</v>
          </cell>
          <cell r="AK20">
            <v>3.8343291445889837E-4</v>
          </cell>
          <cell r="AL20">
            <v>3.8400892422917309E-4</v>
          </cell>
          <cell r="AM20">
            <v>36.754445797807549</v>
          </cell>
          <cell r="AN20">
            <v>30.814419716755562</v>
          </cell>
          <cell r="AO20">
            <v>17.97569284596262</v>
          </cell>
          <cell r="AP20">
            <v>19.106843752643602</v>
          </cell>
          <cell r="AQ20">
            <v>0.93210492020148372</v>
          </cell>
          <cell r="AR20">
            <v>4.3709001320472979E-4</v>
          </cell>
          <cell r="AS20">
            <v>4.3975051315370197E-4</v>
          </cell>
          <cell r="AT20"/>
          <cell r="AU20">
            <v>1.0021881130881205E-4</v>
          </cell>
          <cell r="AV20">
            <v>9.4980987850290218E-5</v>
          </cell>
          <cell r="AW20">
            <v>7.2534819177033112E-5</v>
          </cell>
          <cell r="AX20">
            <v>7.6801784845834629E-5</v>
          </cell>
          <cell r="AY20">
            <v>8.7950102630740396E-5</v>
          </cell>
          <cell r="AZ20">
            <v>6.1541255831474746E-2</v>
          </cell>
          <cell r="BA20">
            <v>12698.21135821875</v>
          </cell>
          <cell r="BB20">
            <v>12034.553623061614</v>
          </cell>
          <cell r="BC20">
            <v>9190.5147617646689</v>
          </cell>
          <cell r="BD20">
            <v>9731.1600878576628</v>
          </cell>
          <cell r="BE20">
            <v>11143.706232364517</v>
          </cell>
          <cell r="BF20">
            <v>54798.14606326721</v>
          </cell>
          <cell r="BH20">
            <v>225862</v>
          </cell>
          <cell r="BI20">
            <v>0.24261782001074642</v>
          </cell>
          <cell r="BJ20">
            <v>54798.14606326721</v>
          </cell>
          <cell r="BK20">
            <v>0</v>
          </cell>
          <cell r="BM20">
            <v>54798.14606326721</v>
          </cell>
          <cell r="BN20">
            <v>4.7317682839758296E-4</v>
          </cell>
          <cell r="BO20">
            <v>1360.4218959793739</v>
          </cell>
          <cell r="BP20">
            <v>56158.567959246582</v>
          </cell>
          <cell r="BQ20">
            <v>0.2486410638321036</v>
          </cell>
          <cell r="BR20">
            <v>0</v>
          </cell>
          <cell r="BS20"/>
          <cell r="BT20">
            <v>225862</v>
          </cell>
          <cell r="BU20">
            <v>0.2486410638321036</v>
          </cell>
          <cell r="BV20">
            <v>56158.567959246582</v>
          </cell>
          <cell r="BW20">
            <v>0</v>
          </cell>
          <cell r="BY20">
            <v>56158.567959246582</v>
          </cell>
          <cell r="BZ20">
            <v>4.7317682839758296E-4</v>
          </cell>
          <cell r="CA20">
            <v>0</v>
          </cell>
          <cell r="CB20">
            <v>56158.567959246582</v>
          </cell>
          <cell r="CC20">
            <v>0.2486410638321036</v>
          </cell>
          <cell r="CD20">
            <v>0</v>
          </cell>
          <cell r="CE20"/>
          <cell r="CF20">
            <v>67758.599999999991</v>
          </cell>
          <cell r="CG20">
            <v>0</v>
          </cell>
          <cell r="CH20">
            <v>56158.567959246582</v>
          </cell>
          <cell r="CI20">
            <v>0.2486410638321036</v>
          </cell>
          <cell r="CL20">
            <v>685.4</v>
          </cell>
          <cell r="CM20">
            <v>56843.967959246584</v>
          </cell>
        </row>
        <row r="21">
          <cell r="B21" t="str">
            <v>Hampton Roads Transit</v>
          </cell>
          <cell r="C21"/>
          <cell r="D21">
            <v>129210017</v>
          </cell>
          <cell r="E21">
            <v>8574727</v>
          </cell>
          <cell r="F21">
            <v>1002985.3500000001</v>
          </cell>
          <cell r="G21">
            <v>13608118.7366</v>
          </cell>
          <cell r="H21">
            <v>0.20409518551192585</v>
          </cell>
          <cell r="I21">
            <v>0.20409518551192588</v>
          </cell>
          <cell r="J21"/>
          <cell r="K21">
            <v>6.640780447028594</v>
          </cell>
          <cell r="L21">
            <v>7.1961861955660096</v>
          </cell>
          <cell r="M21">
            <v>7.4695517602798605</v>
          </cell>
          <cell r="N21">
            <v>8.5492046319520014</v>
          </cell>
          <cell r="O21">
            <v>0.92912615428559064</v>
          </cell>
          <cell r="P21">
            <v>0.18963017482289987</v>
          </cell>
          <cell r="Q21">
            <v>0.1835466900824608</v>
          </cell>
          <cell r="R21">
            <v>0.46622665154015291</v>
          </cell>
          <cell r="S21">
            <v>0.49455273703023678</v>
          </cell>
          <cell r="T21">
            <v>0.51854760762331398</v>
          </cell>
          <cell r="U21">
            <v>0.6301184730948638</v>
          </cell>
          <cell r="V21">
            <v>0.95181830349680541</v>
          </cell>
          <cell r="W21">
            <v>0.19426153322582707</v>
          </cell>
          <cell r="X21">
            <v>0.18827507692822248</v>
          </cell>
          <cell r="Y21">
            <v>107.97198556298591</v>
          </cell>
          <cell r="Z21">
            <v>112.49719845156518</v>
          </cell>
          <cell r="AA21">
            <v>125.82563161812979</v>
          </cell>
          <cell r="AB21">
            <v>129.05743638229609</v>
          </cell>
          <cell r="AC21">
            <v>1.0144497417422516</v>
          </cell>
          <cell r="AD21">
            <v>0.20118806986081503</v>
          </cell>
          <cell r="AE21">
            <v>0.2014883157900472</v>
          </cell>
          <cell r="AF21">
            <v>7.5803465708156237</v>
          </cell>
          <cell r="AG21">
            <v>7.7312893094311175</v>
          </cell>
          <cell r="AH21">
            <v>8.735006108429328</v>
          </cell>
          <cell r="AI21">
            <v>9.512168471300491</v>
          </cell>
          <cell r="AJ21">
            <v>1.0358017781168538</v>
          </cell>
          <cell r="AK21">
            <v>0.1970407753913905</v>
          </cell>
          <cell r="AL21">
            <v>0.19733677870119534</v>
          </cell>
          <cell r="AM21">
            <v>16.258930170067252</v>
          </cell>
          <cell r="AN21">
            <v>15.632891561488677</v>
          </cell>
          <cell r="AO21">
            <v>16.845138189847084</v>
          </cell>
          <cell r="AP21">
            <v>15.095841302002967</v>
          </cell>
          <cell r="AQ21">
            <v>1.105548154721899</v>
          </cell>
          <cell r="AR21">
            <v>0.18460994633315278</v>
          </cell>
          <cell r="AS21">
            <v>0.18573363879457047</v>
          </cell>
          <cell r="AT21"/>
          <cell r="AU21">
            <v>3.6709338016492163E-2</v>
          </cell>
          <cell r="AV21">
            <v>3.7655015385644502E-2</v>
          </cell>
          <cell r="AW21">
            <v>4.0297663158009443E-2</v>
          </cell>
          <cell r="AX21">
            <v>3.9467355740239074E-2</v>
          </cell>
          <cell r="AY21">
            <v>3.7146727758914096E-2</v>
          </cell>
          <cell r="AZ21">
            <v>-6.2809347611374966E-2</v>
          </cell>
          <cell r="BA21">
            <v>4651251.8644563593</v>
          </cell>
          <cell r="BB21">
            <v>4771073.7916310709</v>
          </cell>
          <cell r="BC21">
            <v>5105910.1314417124</v>
          </cell>
          <cell r="BD21">
            <v>5000706.1388433902</v>
          </cell>
          <cell r="BE21">
            <v>4706671.2744718743</v>
          </cell>
          <cell r="BF21">
            <v>24235613.200844407</v>
          </cell>
          <cell r="BH21">
            <v>129442718</v>
          </cell>
          <cell r="BI21">
            <v>0.18723041029503418</v>
          </cell>
          <cell r="BJ21">
            <v>24235613.200844407</v>
          </cell>
          <cell r="BK21">
            <v>0</v>
          </cell>
          <cell r="BM21">
            <v>24235613.200844407</v>
          </cell>
          <cell r="BN21">
            <v>0.20927223660826189</v>
          </cell>
          <cell r="BO21">
            <v>601674.71401038289</v>
          </cell>
          <cell r="BP21">
            <v>24837287.914854791</v>
          </cell>
          <cell r="BQ21">
            <v>0.19187860312740646</v>
          </cell>
          <cell r="BR21">
            <v>0</v>
          </cell>
          <cell r="BS21"/>
          <cell r="BT21">
            <v>129442718</v>
          </cell>
          <cell r="BU21">
            <v>0.19187860312740646</v>
          </cell>
          <cell r="BV21">
            <v>24837287.914854791</v>
          </cell>
          <cell r="BW21">
            <v>0</v>
          </cell>
          <cell r="BY21">
            <v>24837287.914854791</v>
          </cell>
          <cell r="BZ21">
            <v>0.20927223660826189</v>
          </cell>
          <cell r="CA21">
            <v>0</v>
          </cell>
          <cell r="CB21">
            <v>24837287.914854791</v>
          </cell>
          <cell r="CC21">
            <v>0.19187860312740646</v>
          </cell>
          <cell r="CD21">
            <v>0</v>
          </cell>
          <cell r="CE21"/>
          <cell r="CF21">
            <v>38832815.399999999</v>
          </cell>
          <cell r="CG21">
            <v>0</v>
          </cell>
          <cell r="CH21">
            <v>24837287.914854791</v>
          </cell>
          <cell r="CI21">
            <v>0.19187860312740646</v>
          </cell>
          <cell r="CL21">
            <v>0</v>
          </cell>
          <cell r="CM21">
            <v>24837287.914854791</v>
          </cell>
        </row>
        <row r="22">
          <cell r="B22" t="str">
            <v>STAR Transit</v>
          </cell>
          <cell r="C22"/>
          <cell r="D22">
            <v>1304126</v>
          </cell>
          <cell r="E22">
            <v>101901</v>
          </cell>
          <cell r="F22">
            <v>20119</v>
          </cell>
          <cell r="G22">
            <v>529269</v>
          </cell>
          <cell r="H22">
            <v>2.953904128867103E-3</v>
          </cell>
          <cell r="I22">
            <v>2.9539041288671034E-3</v>
          </cell>
          <cell r="J22"/>
          <cell r="K22">
            <v>2.5445369916707494</v>
          </cell>
          <cell r="L22">
            <v>3.1323175227328584</v>
          </cell>
          <cell r="M22">
            <v>4.5268015794669303</v>
          </cell>
          <cell r="N22">
            <v>5.0649137631094989</v>
          </cell>
          <cell r="O22">
            <v>1.073695224756283</v>
          </cell>
          <cell r="P22">
            <v>3.1715927575524769E-3</v>
          </cell>
          <cell r="Q22">
            <v>3.0698455743234524E-3</v>
          </cell>
          <cell r="R22">
            <v>0.1120356208297289</v>
          </cell>
          <cell r="S22">
            <v>0.13193504175827817</v>
          </cell>
          <cell r="T22">
            <v>0.17952070654971744</v>
          </cell>
          <cell r="U22">
            <v>0.1925315860176961</v>
          </cell>
          <cell r="V22">
            <v>1.025802652359719</v>
          </cell>
          <cell r="W22">
            <v>3.0301226902081997E-3</v>
          </cell>
          <cell r="X22">
            <v>2.9367449804779664E-3</v>
          </cell>
          <cell r="Y22">
            <v>48.696570308672221</v>
          </cell>
          <cell r="Z22">
            <v>59.030916687146721</v>
          </cell>
          <cell r="AA22">
            <v>61.540424481737411</v>
          </cell>
          <cell r="AB22">
            <v>66.988568020279331</v>
          </cell>
          <cell r="AC22">
            <v>1.0677662862612751</v>
          </cell>
          <cell r="AD22">
            <v>2.7664332231447726E-3</v>
          </cell>
          <cell r="AE22">
            <v>2.7705617498229025E-3</v>
          </cell>
          <cell r="AF22">
            <v>2.1441034281165527</v>
          </cell>
          <cell r="AG22">
            <v>2.4864166552799274</v>
          </cell>
          <cell r="AH22">
            <v>2.4405267804187702</v>
          </cell>
          <cell r="AI22">
            <v>2.5464234633050489</v>
          </cell>
          <cell r="AJ22">
            <v>1.0231988179124334</v>
          </cell>
          <cell r="AK22">
            <v>2.886930748115761E-3</v>
          </cell>
          <cell r="AL22">
            <v>2.8912676223232553E-3</v>
          </cell>
          <cell r="AM22">
            <v>19.13769399622598</v>
          </cell>
          <cell r="AN22">
            <v>18.84576396189998</v>
          </cell>
          <cell r="AO22">
            <v>13.594681233849073</v>
          </cell>
          <cell r="AP22">
            <v>13.226003670228948</v>
          </cell>
          <cell r="AQ22">
            <v>1.0129687350188592</v>
          </cell>
          <cell r="AR22">
            <v>2.9160861799077229E-3</v>
          </cell>
          <cell r="AS22">
            <v>2.9338359497456555E-3</v>
          </cell>
          <cell r="AT22"/>
          <cell r="AU22">
            <v>6.1396911486469048E-4</v>
          </cell>
          <cell r="AV22">
            <v>5.8734899609559328E-4</v>
          </cell>
          <cell r="AW22">
            <v>5.5411234996458048E-4</v>
          </cell>
          <cell r="AX22">
            <v>5.7825352446465111E-4</v>
          </cell>
          <cell r="AY22">
            <v>5.8676718994913116E-4</v>
          </cell>
          <cell r="AZ22">
            <v>-1.1324996367193198E-2</v>
          </cell>
          <cell r="BA22">
            <v>77792.876268976557</v>
          </cell>
          <cell r="BB22">
            <v>74419.977607573659</v>
          </cell>
          <cell r="BC22">
            <v>70208.732713544319</v>
          </cell>
          <cell r="BD22">
            <v>73267.537066081917</v>
          </cell>
          <cell r="BE22">
            <v>74346.259936002782</v>
          </cell>
          <cell r="BF22">
            <v>370035.38359217928</v>
          </cell>
          <cell r="BH22">
            <v>1347743</v>
          </cell>
          <cell r="BI22">
            <v>0.27455930662758349</v>
          </cell>
          <cell r="BJ22">
            <v>370035.38359217928</v>
          </cell>
          <cell r="BK22">
            <v>0</v>
          </cell>
          <cell r="BM22">
            <v>370035.38359217928</v>
          </cell>
          <cell r="BN22">
            <v>3.1952206740877274E-3</v>
          </cell>
          <cell r="BO22">
            <v>9186.5195137208102</v>
          </cell>
          <cell r="BP22">
            <v>379221.9031059001</v>
          </cell>
          <cell r="BQ22">
            <v>0.28137553161537482</v>
          </cell>
          <cell r="BR22">
            <v>0</v>
          </cell>
          <cell r="BS22"/>
          <cell r="BT22">
            <v>1347743</v>
          </cell>
          <cell r="BU22">
            <v>0.28137553161537482</v>
          </cell>
          <cell r="BV22">
            <v>379221.9031059001</v>
          </cell>
          <cell r="BW22">
            <v>0</v>
          </cell>
          <cell r="BY22">
            <v>379221.9031059001</v>
          </cell>
          <cell r="BZ22">
            <v>3.1952206740877274E-3</v>
          </cell>
          <cell r="CA22">
            <v>0</v>
          </cell>
          <cell r="CB22">
            <v>379221.9031059001</v>
          </cell>
          <cell r="CC22">
            <v>0.28137553161537482</v>
          </cell>
          <cell r="CD22">
            <v>0</v>
          </cell>
          <cell r="CE22"/>
          <cell r="CF22">
            <v>404322.89999999997</v>
          </cell>
          <cell r="CG22">
            <v>0</v>
          </cell>
          <cell r="CH22">
            <v>379221.9031059001</v>
          </cell>
          <cell r="CI22">
            <v>0.28137553161537482</v>
          </cell>
          <cell r="CL22">
            <v>0</v>
          </cell>
          <cell r="CM22">
            <v>379221.9031059001</v>
          </cell>
        </row>
        <row r="23">
          <cell r="B23" t="str">
            <v>Town of Chincoteague</v>
          </cell>
          <cell r="C23"/>
          <cell r="D23">
            <v>69734</v>
          </cell>
          <cell r="E23">
            <v>6243</v>
          </cell>
          <cell r="F23">
            <v>3135</v>
          </cell>
          <cell r="G23">
            <v>11686</v>
          </cell>
          <cell r="H23">
            <v>1.8125058864803796E-4</v>
          </cell>
          <cell r="I23">
            <v>1.8125058864803799E-4</v>
          </cell>
          <cell r="J23"/>
          <cell r="K23">
            <v>1.0119225037257824</v>
          </cell>
          <cell r="L23">
            <v>3.4102272727272727</v>
          </cell>
          <cell r="M23">
            <v>6.2649402390438249</v>
          </cell>
          <cell r="N23">
            <v>1.9913875598086124</v>
          </cell>
          <cell r="O23">
            <v>1.4905641336229849</v>
          </cell>
          <cell r="P23">
            <v>2.7016562663681877E-4</v>
          </cell>
          <cell r="Q23">
            <v>2.6149850143603683E-4</v>
          </cell>
          <cell r="R23">
            <v>0.14279705573080967</v>
          </cell>
          <cell r="S23">
            <v>0.44282130736314002</v>
          </cell>
          <cell r="T23">
            <v>0.67765567765567769</v>
          </cell>
          <cell r="U23">
            <v>0.53422899195618689</v>
          </cell>
          <cell r="V23">
            <v>1.4948703613430017</v>
          </cell>
          <cell r="W23">
            <v>2.7094613294592428E-4</v>
          </cell>
          <cell r="X23">
            <v>2.6259652735519644E-4</v>
          </cell>
          <cell r="Y23">
            <v>58.488077496274215</v>
          </cell>
          <cell r="Z23">
            <v>76.226136363636357</v>
          </cell>
          <cell r="AA23">
            <v>100.44621513944223</v>
          </cell>
          <cell r="AB23">
            <v>22.741307814992027</v>
          </cell>
          <cell r="AC23">
            <v>0.90437497433822445</v>
          </cell>
          <cell r="AD23">
            <v>2.0041530757821768E-4</v>
          </cell>
          <cell r="AE23">
            <v>2.0071440026446792E-4</v>
          </cell>
          <cell r="AF23">
            <v>8.2535226077812833</v>
          </cell>
          <cell r="AG23">
            <v>9.8980374797107871</v>
          </cell>
          <cell r="AH23">
            <v>10.864899806076277</v>
          </cell>
          <cell r="AI23">
            <v>6.1008043813109705</v>
          </cell>
          <cell r="AJ23">
            <v>0.91713678138535648</v>
          </cell>
          <cell r="AK23">
            <v>1.976265616283045E-4</v>
          </cell>
          <cell r="AL23">
            <v>1.97923444931931E-4</v>
          </cell>
          <cell r="AM23">
            <v>57.798969072164951</v>
          </cell>
          <cell r="AN23">
            <v>22.352215928023991</v>
          </cell>
          <cell r="AO23">
            <v>16.033068362480126</v>
          </cell>
          <cell r="AP23">
            <v>11.419830209835014</v>
          </cell>
          <cell r="AQ23">
            <v>0.66856560434544443</v>
          </cell>
          <cell r="AR23">
            <v>2.7110366951271808E-4</v>
          </cell>
          <cell r="AS23">
            <v>2.727538360164467E-4</v>
          </cell>
          <cell r="AT23"/>
          <cell r="AU23">
            <v>5.2299700287207368E-5</v>
          </cell>
          <cell r="AV23">
            <v>5.2519305471039288E-5</v>
          </cell>
          <cell r="AW23">
            <v>4.0142880052893586E-5</v>
          </cell>
          <cell r="AX23">
            <v>3.9584688986386206E-5</v>
          </cell>
          <cell r="AY23">
            <v>5.455076720328934E-5</v>
          </cell>
          <cell r="AZ23">
            <v>0.31915346473774875</v>
          </cell>
          <cell r="BA23">
            <v>6626.6266736298721</v>
          </cell>
          <cell r="BB23">
            <v>6654.4517196790166</v>
          </cell>
          <cell r="BC23">
            <v>5086.2983583845953</v>
          </cell>
          <cell r="BD23">
            <v>5015.5728324258071</v>
          </cell>
          <cell r="BE23">
            <v>6911.8478123422719</v>
          </cell>
          <cell r="BF23">
            <v>30294.797396461563</v>
          </cell>
          <cell r="BH23">
            <v>71294</v>
          </cell>
          <cell r="BI23">
            <v>0.42492772738886248</v>
          </cell>
          <cell r="BJ23">
            <v>21388.2</v>
          </cell>
          <cell r="BK23">
            <v>8906.5973964615623</v>
          </cell>
          <cell r="BM23">
            <v>0</v>
          </cell>
          <cell r="BN23">
            <v>0</v>
          </cell>
          <cell r="BO23">
            <v>0</v>
          </cell>
          <cell r="BP23">
            <v>21388.2</v>
          </cell>
          <cell r="BQ23">
            <v>0.3</v>
          </cell>
          <cell r="BR23">
            <v>0</v>
          </cell>
          <cell r="BS23"/>
          <cell r="BT23">
            <v>71294</v>
          </cell>
          <cell r="BU23">
            <v>0.3</v>
          </cell>
          <cell r="BV23">
            <v>21388.2</v>
          </cell>
          <cell r="BW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21388.2</v>
          </cell>
          <cell r="CC23">
            <v>0.3</v>
          </cell>
          <cell r="CD23">
            <v>0</v>
          </cell>
          <cell r="CE23"/>
          <cell r="CF23">
            <v>21388.2</v>
          </cell>
          <cell r="CG23">
            <v>0</v>
          </cell>
          <cell r="CH23">
            <v>21388.2</v>
          </cell>
          <cell r="CI23">
            <v>0.3</v>
          </cell>
          <cell r="CL23">
            <v>0</v>
          </cell>
          <cell r="CM23">
            <v>21388.2</v>
          </cell>
        </row>
        <row r="24">
          <cell r="B24" t="str">
            <v>Williamsburg Area Transit Authority</v>
          </cell>
          <cell r="C24"/>
          <cell r="D24">
            <v>7769877</v>
          </cell>
          <cell r="E24">
            <v>1423486</v>
          </cell>
          <cell r="F24">
            <v>68607</v>
          </cell>
          <cell r="G24">
            <v>1127856</v>
          </cell>
          <cell r="H24">
            <v>1.8048666104171336E-2</v>
          </cell>
          <cell r="I24">
            <v>1.804866610417134E-2</v>
          </cell>
          <cell r="J24"/>
          <cell r="K24">
            <v>14.316342020333447</v>
          </cell>
          <cell r="L24">
            <v>19.466079261836335</v>
          </cell>
          <cell r="M24">
            <v>23.218467236227433</v>
          </cell>
          <cell r="N24">
            <v>20.748407596892445</v>
          </cell>
          <cell r="O24">
            <v>0.96624846266131004</v>
          </cell>
          <cell r="P24">
            <v>1.7439495876242852E-2</v>
          </cell>
          <cell r="Q24">
            <v>1.6880023170260505E-2</v>
          </cell>
          <cell r="R24">
            <v>1.0462325686324412</v>
          </cell>
          <cell r="S24">
            <v>1.4050534441156883</v>
          </cell>
          <cell r="T24">
            <v>1.5050852081552479</v>
          </cell>
          <cell r="U24">
            <v>1.2621167950518506</v>
          </cell>
          <cell r="V24">
            <v>0.91602143366124933</v>
          </cell>
          <cell r="W24">
            <v>1.6532965000416226E-2</v>
          </cell>
          <cell r="X24">
            <v>1.6023477245422749E-2</v>
          </cell>
          <cell r="Y24">
            <v>90.654407919074401</v>
          </cell>
          <cell r="Z24">
            <v>94.089194776382797</v>
          </cell>
          <cell r="AA24">
            <v>110.97560428152575</v>
          </cell>
          <cell r="AB24">
            <v>113.25195679741134</v>
          </cell>
          <cell r="AC24">
            <v>1.0300295581458903</v>
          </cell>
          <cell r="AD24">
            <v>1.7522473953718309E-2</v>
          </cell>
          <cell r="AE24">
            <v>1.7548623871446137E-2</v>
          </cell>
          <cell r="AF24">
            <v>6.6249879976545323</v>
          </cell>
          <cell r="AG24">
            <v>6.7913186521237527</v>
          </cell>
          <cell r="AH24">
            <v>7.1937453394685633</v>
          </cell>
          <cell r="AI24">
            <v>6.8890682853130185</v>
          </cell>
          <cell r="AJ24">
            <v>0.97398110528978188</v>
          </cell>
          <cell r="AK24">
            <v>1.8530817493427085E-2</v>
          </cell>
          <cell r="AL24">
            <v>1.855865530161957E-2</v>
          </cell>
          <cell r="AM24">
            <v>6.3322326185221254</v>
          </cell>
          <cell r="AN24">
            <v>4.833494896984555</v>
          </cell>
          <cell r="AO24">
            <v>4.779626628771263</v>
          </cell>
          <cell r="AP24">
            <v>5.4583445148037981</v>
          </cell>
          <cell r="AQ24">
            <v>1.0742638725165357</v>
          </cell>
          <cell r="AR24">
            <v>1.6800961631420332E-2</v>
          </cell>
          <cell r="AS24">
            <v>1.690322651099364E-2</v>
          </cell>
          <cell r="AT24"/>
          <cell r="AU24">
            <v>3.3760046340521009E-3</v>
          </cell>
          <cell r="AV24">
            <v>3.20469544908455E-3</v>
          </cell>
          <cell r="AW24">
            <v>3.5097247742892274E-3</v>
          </cell>
          <cell r="AX24">
            <v>3.7117310603239141E-3</v>
          </cell>
          <cell r="AY24">
            <v>3.3806453021987281E-3</v>
          </cell>
          <cell r="AZ24">
            <v>-4.7973898969891487E-2</v>
          </cell>
          <cell r="BA24">
            <v>427756.22490096436</v>
          </cell>
          <cell r="BB24">
            <v>406050.51706115407</v>
          </cell>
          <cell r="BC24">
            <v>444699.21775237116</v>
          </cell>
          <cell r="BD24">
            <v>470294.39776157262</v>
          </cell>
          <cell r="BE24">
            <v>428344.22015055525</v>
          </cell>
          <cell r="BF24">
            <v>2177144.5776266176</v>
          </cell>
          <cell r="BH24">
            <v>7769877</v>
          </cell>
          <cell r="BI24">
            <v>0.2802032229888089</v>
          </cell>
          <cell r="BJ24">
            <v>2177144.5776266176</v>
          </cell>
          <cell r="BK24">
            <v>0</v>
          </cell>
          <cell r="BM24">
            <v>2177144.5776266176</v>
          </cell>
          <cell r="BN24">
            <v>1.8799438306087404E-2</v>
          </cell>
          <cell r="BO24">
            <v>54049.91531458799</v>
          </cell>
          <cell r="BP24">
            <v>2231194.4929412054</v>
          </cell>
          <cell r="BQ24">
            <v>0.28715956416571398</v>
          </cell>
          <cell r="BR24">
            <v>0</v>
          </cell>
          <cell r="BS24"/>
          <cell r="BT24">
            <v>7769877</v>
          </cell>
          <cell r="BU24">
            <v>0.28715956416571398</v>
          </cell>
          <cell r="BV24">
            <v>2231194.4929412054</v>
          </cell>
          <cell r="BW24">
            <v>0</v>
          </cell>
          <cell r="BY24">
            <v>2231194.4929412054</v>
          </cell>
          <cell r="BZ24">
            <v>1.8799438306087404E-2</v>
          </cell>
          <cell r="CA24">
            <v>0</v>
          </cell>
          <cell r="CB24">
            <v>2231194.4929412054</v>
          </cell>
          <cell r="CC24">
            <v>0.28715956416571398</v>
          </cell>
          <cell r="CD24">
            <v>0</v>
          </cell>
          <cell r="CE24"/>
          <cell r="CF24">
            <v>2330963.1</v>
          </cell>
          <cell r="CG24">
            <v>0</v>
          </cell>
          <cell r="CH24">
            <v>2231194.4929412054</v>
          </cell>
          <cell r="CI24">
            <v>0.28715956416571398</v>
          </cell>
          <cell r="CL24">
            <v>0</v>
          </cell>
          <cell r="CM24">
            <v>2231194.4929412054</v>
          </cell>
        </row>
        <row r="25">
          <cell r="B25" t="str">
            <v>Danville Transit System</v>
          </cell>
          <cell r="C25"/>
          <cell r="D25">
            <v>4067447</v>
          </cell>
          <cell r="E25">
            <v>259346</v>
          </cell>
          <cell r="F25">
            <v>34940</v>
          </cell>
          <cell r="G25">
            <v>565576</v>
          </cell>
          <cell r="H25">
            <v>6.6447443354319367E-3</v>
          </cell>
          <cell r="I25">
            <v>6.6447443354319376E-3</v>
          </cell>
          <cell r="J25"/>
          <cell r="K25">
            <v>5.7639186016175321</v>
          </cell>
          <cell r="L25">
            <v>6.4797153630255435</v>
          </cell>
          <cell r="M25">
            <v>7.8693923906871097</v>
          </cell>
          <cell r="N25">
            <v>7.4226101888952494</v>
          </cell>
          <cell r="O25">
            <v>0.92653452379767975</v>
          </cell>
          <cell r="P25">
            <v>6.1565850285867606E-3</v>
          </cell>
          <cell r="Q25">
            <v>5.9590769520920682E-3</v>
          </cell>
          <cell r="R25">
            <v>0.39323250859241093</v>
          </cell>
          <cell r="S25">
            <v>0.42963025620782347</v>
          </cell>
          <cell r="T25">
            <v>0.50038763229943484</v>
          </cell>
          <cell r="U25">
            <v>0.45855198947621539</v>
          </cell>
          <cell r="V25">
            <v>0.89996760816377319</v>
          </cell>
          <cell r="W25">
            <v>5.9800546664184615E-3</v>
          </cell>
          <cell r="X25">
            <v>5.7957704423452164E-3</v>
          </cell>
          <cell r="Y25">
            <v>72.997808505087406</v>
          </cell>
          <cell r="Z25">
            <v>89.842457403679873</v>
          </cell>
          <cell r="AA25">
            <v>122.89167251227578</v>
          </cell>
          <cell r="AB25">
            <v>116.41233543216943</v>
          </cell>
          <cell r="AC25">
            <v>1.1275204801752217</v>
          </cell>
          <cell r="AD25">
            <v>5.8932360451663945E-3</v>
          </cell>
          <cell r="AE25">
            <v>5.9020309013116399E-3</v>
          </cell>
          <cell r="AF25">
            <v>4.9801382261276927</v>
          </cell>
          <cell r="AG25">
            <v>5.9569033252504751</v>
          </cell>
          <cell r="AH25">
            <v>7.8142593461864411</v>
          </cell>
          <cell r="AI25">
            <v>7.1916895342093721</v>
          </cell>
          <cell r="AJ25">
            <v>1.0962426841958166</v>
          </cell>
          <cell r="AK25">
            <v>6.0613807792992474E-3</v>
          </cell>
          <cell r="AL25">
            <v>6.0704864518134572E-3</v>
          </cell>
          <cell r="AM25">
            <v>12.664614743969837</v>
          </cell>
          <cell r="AN25">
            <v>13.865185794477576</v>
          </cell>
          <cell r="AO25">
            <v>15.616411841111102</v>
          </cell>
          <cell r="AP25">
            <v>15.683476899585882</v>
          </cell>
          <cell r="AQ25">
            <v>1.21686915565862</v>
          </cell>
          <cell r="AR25">
            <v>5.4605249089706171E-3</v>
          </cell>
          <cell r="AS25">
            <v>5.4937622875489119E-3</v>
          </cell>
          <cell r="AT25"/>
          <cell r="AU25">
            <v>1.1918153904184137E-3</v>
          </cell>
          <cell r="AV25">
            <v>1.1591540884690434E-3</v>
          </cell>
          <cell r="AW25">
            <v>1.180406180262328E-3</v>
          </cell>
          <cell r="AX25">
            <v>1.2140972903626915E-3</v>
          </cell>
          <cell r="AY25">
            <v>1.0987524575097824E-3</v>
          </cell>
          <cell r="AZ25">
            <v>-0.12047399990110257</v>
          </cell>
          <cell r="BA25">
            <v>151008.81291514897</v>
          </cell>
          <cell r="BB25">
            <v>146870.46693028454</v>
          </cell>
          <cell r="BC25">
            <v>149563.21043692867</v>
          </cell>
          <cell r="BD25">
            <v>153832.0381286598</v>
          </cell>
          <cell r="BE25">
            <v>139217.28619220504</v>
          </cell>
          <cell r="BF25">
            <v>740491.81460322707</v>
          </cell>
          <cell r="BH25">
            <v>4067447</v>
          </cell>
          <cell r="BI25">
            <v>0.18205321780547529</v>
          </cell>
          <cell r="BJ25">
            <v>740491.81460322707</v>
          </cell>
          <cell r="BK25">
            <v>0</v>
          </cell>
          <cell r="BM25">
            <v>740491.81460322707</v>
          </cell>
          <cell r="BN25">
            <v>6.3940770529680073E-3</v>
          </cell>
          <cell r="BO25">
            <v>18383.491974649234</v>
          </cell>
          <cell r="BP25">
            <v>758875.30657787633</v>
          </cell>
          <cell r="BQ25">
            <v>0.18657288136216066</v>
          </cell>
          <cell r="BR25">
            <v>0</v>
          </cell>
          <cell r="BS25"/>
          <cell r="BT25">
            <v>4067447</v>
          </cell>
          <cell r="BU25">
            <v>0.18657288136216066</v>
          </cell>
          <cell r="BV25">
            <v>758875.30657787633</v>
          </cell>
          <cell r="BW25">
            <v>0</v>
          </cell>
          <cell r="BY25">
            <v>758875.30657787633</v>
          </cell>
          <cell r="BZ25">
            <v>6.3940770529680073E-3</v>
          </cell>
          <cell r="CA25">
            <v>0</v>
          </cell>
          <cell r="CB25">
            <v>758875.30657787633</v>
          </cell>
          <cell r="CC25">
            <v>0.18657288136216066</v>
          </cell>
          <cell r="CD25">
            <v>0</v>
          </cell>
          <cell r="CE25"/>
          <cell r="CF25">
            <v>1220234.0999999999</v>
          </cell>
          <cell r="CG25">
            <v>0</v>
          </cell>
          <cell r="CH25">
            <v>758875.30657787633</v>
          </cell>
          <cell r="CI25">
            <v>0.18657288136216066</v>
          </cell>
          <cell r="CL25">
            <v>0</v>
          </cell>
          <cell r="CM25">
            <v>758875.30657787633</v>
          </cell>
        </row>
        <row r="26">
          <cell r="B26" t="str">
            <v>Farmville Area Bus</v>
          </cell>
          <cell r="C26"/>
          <cell r="D26">
            <v>698366</v>
          </cell>
          <cell r="E26">
            <v>96178</v>
          </cell>
          <cell r="F26">
            <v>11193</v>
          </cell>
          <cell r="G26">
            <v>168612</v>
          </cell>
          <cell r="H26">
            <v>1.6519623847421562E-3</v>
          </cell>
          <cell r="I26">
            <v>1.6519623847421564E-3</v>
          </cell>
          <cell r="J26"/>
          <cell r="K26">
            <v>6.5520235467255334</v>
          </cell>
          <cell r="L26">
            <v>6.5625580805947452</v>
          </cell>
          <cell r="M26">
            <v>7.7980103806228378</v>
          </cell>
          <cell r="N26">
            <v>8.5926918609845444</v>
          </cell>
          <cell r="O26">
            <v>0.93668954813722882</v>
          </cell>
          <cell r="P26">
            <v>1.5473758997038294E-3</v>
          </cell>
          <cell r="Q26">
            <v>1.4977348671921902E-3</v>
          </cell>
          <cell r="R26">
            <v>0.47317713453679738</v>
          </cell>
          <cell r="S26">
            <v>0.44629120011030743</v>
          </cell>
          <cell r="T26">
            <v>0.52648024202497345</v>
          </cell>
          <cell r="U26">
            <v>0.57041017246696557</v>
          </cell>
          <cell r="V26">
            <v>0.91643691347378609</v>
          </cell>
          <cell r="W26">
            <v>1.5139193090478969E-3</v>
          </cell>
          <cell r="X26">
            <v>1.4672656477119736E-3</v>
          </cell>
          <cell r="Y26">
            <v>45.519278881530539</v>
          </cell>
          <cell r="Z26">
            <v>51.194390470558417</v>
          </cell>
          <cell r="AA26">
            <v>60.816435986159171</v>
          </cell>
          <cell r="AB26">
            <v>62.393102832127219</v>
          </cell>
          <cell r="AC26">
            <v>1.0630086809606323</v>
          </cell>
          <cell r="AD26">
            <v>1.5540441149072192E-3</v>
          </cell>
          <cell r="AE26">
            <v>1.5563633151444445E-3</v>
          </cell>
          <cell r="AF26">
            <v>3.2873328054671349</v>
          </cell>
          <cell r="AG26">
            <v>3.4815091434513583</v>
          </cell>
          <cell r="AH26">
            <v>4.1060027332936189</v>
          </cell>
          <cell r="AI26">
            <v>4.1418522999549259</v>
          </cell>
          <cell r="AJ26">
            <v>1.0382731642613201</v>
          </cell>
          <cell r="AK26">
            <v>1.5910672081344275E-3</v>
          </cell>
          <cell r="AL26">
            <v>1.5934573791982301E-3</v>
          </cell>
          <cell r="AM26">
            <v>6.9473619190943596</v>
          </cell>
          <cell r="AN26">
            <v>7.8009809348489334</v>
          </cell>
          <cell r="AO26">
            <v>7.7989683288035945</v>
          </cell>
          <cell r="AP26">
            <v>7.261182390983385</v>
          </cell>
          <cell r="AQ26">
            <v>1.1577327465899605</v>
          </cell>
          <cell r="AR26">
            <v>1.4268944103100847E-3</v>
          </cell>
          <cell r="AS26">
            <v>1.4355796979879812E-3</v>
          </cell>
          <cell r="AT26"/>
          <cell r="AU26">
            <v>2.9954697343843807E-4</v>
          </cell>
          <cell r="AV26">
            <v>2.9345312954239477E-4</v>
          </cell>
          <cell r="AW26">
            <v>3.1127266302888892E-4</v>
          </cell>
          <cell r="AX26">
            <v>3.1869147583964602E-4</v>
          </cell>
          <cell r="AY26">
            <v>2.8711593959759624E-4</v>
          </cell>
          <cell r="AZ26">
            <v>-8.5887066561347772E-2</v>
          </cell>
          <cell r="BA26">
            <v>37954.060028863772</v>
          </cell>
          <cell r="BB26">
            <v>37181.940336309162</v>
          </cell>
          <cell r="BC26">
            <v>39439.761992356514</v>
          </cell>
          <cell r="BD26">
            <v>40379.761697679016</v>
          </cell>
          <cell r="BE26">
            <v>36378.987514525346</v>
          </cell>
          <cell r="BF26">
            <v>191334.51156973385</v>
          </cell>
          <cell r="BH26">
            <v>698366</v>
          </cell>
          <cell r="BI26">
            <v>0.27397455140962451</v>
          </cell>
          <cell r="BJ26">
            <v>191334.51156973385</v>
          </cell>
          <cell r="BK26">
            <v>0</v>
          </cell>
          <cell r="BM26">
            <v>191334.51156973385</v>
          </cell>
          <cell r="BN26">
            <v>1.6521554806441816E-3</v>
          </cell>
          <cell r="BO26">
            <v>4750.0814844257748</v>
          </cell>
          <cell r="BP26">
            <v>196084.59305415963</v>
          </cell>
          <cell r="BQ26">
            <v>0.2807762592310617</v>
          </cell>
          <cell r="BR26">
            <v>0</v>
          </cell>
          <cell r="BS26"/>
          <cell r="BT26">
            <v>698366</v>
          </cell>
          <cell r="BU26">
            <v>0.2807762592310617</v>
          </cell>
          <cell r="BV26">
            <v>196084.59305415963</v>
          </cell>
          <cell r="BW26">
            <v>0</v>
          </cell>
          <cell r="BY26">
            <v>196084.59305415963</v>
          </cell>
          <cell r="BZ26">
            <v>1.6521554806441818E-3</v>
          </cell>
          <cell r="CA26">
            <v>0</v>
          </cell>
          <cell r="CB26">
            <v>196084.59305415963</v>
          </cell>
          <cell r="CC26">
            <v>0.2807762592310617</v>
          </cell>
          <cell r="CD26">
            <v>0</v>
          </cell>
          <cell r="CE26"/>
          <cell r="CF26">
            <v>209509.8</v>
          </cell>
          <cell r="CG26">
            <v>0</v>
          </cell>
          <cell r="CH26">
            <v>196084.59305415963</v>
          </cell>
          <cell r="CI26">
            <v>0.2807762592310617</v>
          </cell>
          <cell r="CL26">
            <v>0</v>
          </cell>
          <cell r="CM26">
            <v>196084.59305415963</v>
          </cell>
        </row>
        <row r="27">
          <cell r="B27" t="str">
            <v>Greater Lynchburg Transit Company</v>
          </cell>
          <cell r="C27"/>
          <cell r="D27">
            <v>8378754</v>
          </cell>
          <cell r="E27">
            <v>585649</v>
          </cell>
          <cell r="F27">
            <v>80007.260000000009</v>
          </cell>
          <cell r="G27">
            <v>1157573.97</v>
          </cell>
          <cell r="H27">
            <v>1.4138558077438551E-2</v>
          </cell>
          <cell r="I27">
            <v>1.4138558077438553E-2</v>
          </cell>
          <cell r="J27"/>
          <cell r="K27">
            <v>6.2106387495687709</v>
          </cell>
          <cell r="L27">
            <v>5.9993407953505891</v>
          </cell>
          <cell r="M27">
            <v>6.5244789507405869</v>
          </cell>
          <cell r="N27">
            <v>7.3199482146995152</v>
          </cell>
          <cell r="O27">
            <v>0.90539464268492109</v>
          </cell>
          <cell r="P27">
            <v>1.2800974738602483E-2</v>
          </cell>
          <cell r="Q27">
            <v>1.2390309428834335E-2</v>
          </cell>
          <cell r="R27">
            <v>0.43710720015539234</v>
          </cell>
          <cell r="S27">
            <v>0.41539215330115964</v>
          </cell>
          <cell r="T27">
            <v>0.45126387982562621</v>
          </cell>
          <cell r="U27">
            <v>0.50592792787142582</v>
          </cell>
          <cell r="V27">
            <v>0.90393113365152045</v>
          </cell>
          <cell r="W27">
            <v>1.2780282831136892E-2</v>
          </cell>
          <cell r="X27">
            <v>1.2386439524285781E-2</v>
          </cell>
          <cell r="Y27">
            <v>88.890998593530242</v>
          </cell>
          <cell r="Z27">
            <v>103.53699617930367</v>
          </cell>
          <cell r="AA27">
            <v>108.98527619693715</v>
          </cell>
          <cell r="AB27">
            <v>112.5272881486005</v>
          </cell>
          <cell r="AC27">
            <v>1.0371555930389649</v>
          </cell>
          <cell r="AD27">
            <v>1.3632051133245329E-2</v>
          </cell>
          <cell r="AE27">
            <v>1.3652395122144239E-2</v>
          </cell>
          <cell r="AF27">
            <v>6.2561834749980854</v>
          </cell>
          <cell r="AG27">
            <v>7.168863589577354</v>
          </cell>
          <cell r="AH27">
            <v>7.537938117635405</v>
          </cell>
          <cell r="AI27">
            <v>7.7774727432753172</v>
          </cell>
          <cell r="AJ27">
            <v>1.0360687752653082</v>
          </cell>
          <cell r="AK27">
            <v>1.3646350913160243E-2</v>
          </cell>
          <cell r="AL27">
            <v>1.366685106105618E-2</v>
          </cell>
          <cell r="AM27">
            <v>14.312698287225656</v>
          </cell>
          <cell r="AN27">
            <v>17.258062129016487</v>
          </cell>
          <cell r="AO27">
            <v>16.704058212122263</v>
          </cell>
          <cell r="AP27">
            <v>15.372689102175535</v>
          </cell>
          <cell r="AQ27">
            <v>1.1776106082937341</v>
          </cell>
          <cell r="AR27">
            <v>1.2006140211257284E-2</v>
          </cell>
          <cell r="AS27">
            <v>1.207921974740409E-2</v>
          </cell>
          <cell r="AT27"/>
          <cell r="AU27">
            <v>2.4780618857668671E-3</v>
          </cell>
          <cell r="AV27">
            <v>2.4772879048571561E-3</v>
          </cell>
          <cell r="AW27">
            <v>2.7304790244288479E-3</v>
          </cell>
          <cell r="AX27">
            <v>2.7333702122112362E-3</v>
          </cell>
          <cell r="AY27">
            <v>2.4158439494808182E-3</v>
          </cell>
          <cell r="AZ27">
            <v>-9.2195759536023464E-2</v>
          </cell>
          <cell r="BA27">
            <v>313982.50660998386</v>
          </cell>
          <cell r="BB27">
            <v>313884.43946021044</v>
          </cell>
          <cell r="BC27">
            <v>345964.98709750496</v>
          </cell>
          <cell r="BD27">
            <v>346331.31466672686</v>
          </cell>
          <cell r="BE27">
            <v>306099.1911434097</v>
          </cell>
          <cell r="BF27">
            <v>1626262.4389778357</v>
          </cell>
          <cell r="BH27">
            <v>9003000</v>
          </cell>
          <cell r="BI27">
            <v>0.18063561468153236</v>
          </cell>
          <cell r="BJ27">
            <v>1626262.4389778357</v>
          </cell>
          <cell r="BK27">
            <v>0</v>
          </cell>
          <cell r="BM27">
            <v>1626262.4389778357</v>
          </cell>
          <cell r="BN27">
            <v>1.4042622940732568E-2</v>
          </cell>
          <cell r="BO27">
            <v>40373.683957116686</v>
          </cell>
          <cell r="BP27">
            <v>1666636.1229349524</v>
          </cell>
          <cell r="BQ27">
            <v>0.18512008474230282</v>
          </cell>
          <cell r="BR27">
            <v>0</v>
          </cell>
          <cell r="BS27"/>
          <cell r="BT27">
            <v>9003000</v>
          </cell>
          <cell r="BU27">
            <v>0.18512008474230282</v>
          </cell>
          <cell r="BV27">
            <v>1666636.1229349524</v>
          </cell>
          <cell r="BW27">
            <v>0</v>
          </cell>
          <cell r="BY27">
            <v>1666636.1229349524</v>
          </cell>
          <cell r="BZ27">
            <v>1.4042622940732566E-2</v>
          </cell>
          <cell r="CA27">
            <v>0</v>
          </cell>
          <cell r="CB27">
            <v>1666636.1229349524</v>
          </cell>
          <cell r="CC27">
            <v>0.18512008474230282</v>
          </cell>
          <cell r="CD27">
            <v>0</v>
          </cell>
          <cell r="CE27"/>
          <cell r="CF27">
            <v>2700900</v>
          </cell>
          <cell r="CG27">
            <v>0</v>
          </cell>
          <cell r="CH27">
            <v>1666636.1229349524</v>
          </cell>
          <cell r="CI27">
            <v>0.18512008474230282</v>
          </cell>
          <cell r="CL27">
            <v>0</v>
          </cell>
          <cell r="CM27">
            <v>1666636.1229349524</v>
          </cell>
        </row>
        <row r="28">
          <cell r="B28" t="str">
            <v>Town of Altavista</v>
          </cell>
          <cell r="C28"/>
          <cell r="D28">
            <v>165710</v>
          </cell>
          <cell r="E28">
            <v>15318</v>
          </cell>
          <cell r="F28">
            <v>3004</v>
          </cell>
          <cell r="G28">
            <v>50699</v>
          </cell>
          <cell r="H28">
            <v>3.7321493182231356E-4</v>
          </cell>
          <cell r="I28">
            <v>3.7321493182231361E-4</v>
          </cell>
          <cell r="J28"/>
          <cell r="K28">
            <v>4.686815011624045</v>
          </cell>
          <cell r="L28">
            <v>4.8892540256325994</v>
          </cell>
          <cell r="M28">
            <v>4.7219286657859971</v>
          </cell>
          <cell r="N28">
            <v>5.099201065246338</v>
          </cell>
          <cell r="O28">
            <v>0.87823638966897821</v>
          </cell>
          <cell r="P28">
            <v>3.2777093429418256E-4</v>
          </cell>
          <cell r="Q28">
            <v>3.1725578564233776E-4</v>
          </cell>
          <cell r="R28">
            <v>0.28707433174661295</v>
          </cell>
          <cell r="S28">
            <v>0.30552817479875144</v>
          </cell>
          <cell r="T28">
            <v>0.29334044561158756</v>
          </cell>
          <cell r="U28">
            <v>0.30213613680743212</v>
          </cell>
          <cell r="V28">
            <v>0.87051960662416128</v>
          </cell>
          <cell r="W28">
            <v>3.2489091563622362E-4</v>
          </cell>
          <cell r="X28">
            <v>3.1487892182742357E-4</v>
          </cell>
          <cell r="Y28">
            <v>38.42344735968117</v>
          </cell>
          <cell r="Z28">
            <v>35.43739730529083</v>
          </cell>
          <cell r="AA28">
            <v>58.537318361955087</v>
          </cell>
          <cell r="AB28">
            <v>55.163115845539281</v>
          </cell>
          <cell r="AC28">
            <v>1.1105520609683832</v>
          </cell>
          <cell r="AD28">
            <v>3.3606252686332986E-4</v>
          </cell>
          <cell r="AE28">
            <v>3.3656405464143317E-4</v>
          </cell>
          <cell r="AF28">
            <v>2.3534928190731925</v>
          </cell>
          <cell r="AG28">
            <v>2.2144734680466569</v>
          </cell>
          <cell r="AH28">
            <v>3.6365147101062738</v>
          </cell>
          <cell r="AI28">
            <v>3.2685062821751907</v>
          </cell>
          <cell r="AJ28">
            <v>1.1037169090605909</v>
          </cell>
          <cell r="AK28">
            <v>3.3814371127100781E-4</v>
          </cell>
          <cell r="AL28">
            <v>3.3865168561046671E-4</v>
          </cell>
          <cell r="AM28">
            <v>8.1982001133786842</v>
          </cell>
          <cell r="AN28">
            <v>7.2480172066137918</v>
          </cell>
          <cell r="AO28">
            <v>12.396908658553643</v>
          </cell>
          <cell r="AP28">
            <v>10.817991904948427</v>
          </cell>
          <cell r="AQ28">
            <v>1.2936229881858146</v>
          </cell>
          <cell r="AR28">
            <v>2.8850363299875548E-4</v>
          </cell>
          <cell r="AS28">
            <v>2.9025971041458048E-4</v>
          </cell>
          <cell r="AT28"/>
          <cell r="AU28">
            <v>6.3451157128467558E-5</v>
          </cell>
          <cell r="AV28">
            <v>6.2975784365484712E-5</v>
          </cell>
          <cell r="AW28">
            <v>6.7312810928286634E-5</v>
          </cell>
          <cell r="AX28">
            <v>6.7730337122093347E-5</v>
          </cell>
          <cell r="AY28">
            <v>5.8051942082916096E-5</v>
          </cell>
          <cell r="AZ28">
            <v>-0.14386589500290492</v>
          </cell>
          <cell r="BA28">
            <v>8039.5705518608984</v>
          </cell>
          <cell r="BB28">
            <v>7979.3385082009881</v>
          </cell>
          <cell r="BC28">
            <v>8528.8608906903264</v>
          </cell>
          <cell r="BD28">
            <v>8581.7634923806745</v>
          </cell>
          <cell r="BE28">
            <v>7355.4637168114714</v>
          </cell>
          <cell r="BF28">
            <v>40484.99715994436</v>
          </cell>
          <cell r="BH28">
            <v>165710</v>
          </cell>
          <cell r="BI28">
            <v>0.24431233576696856</v>
          </cell>
          <cell r="BJ28">
            <v>40484.99715994436</v>
          </cell>
          <cell r="BK28">
            <v>0</v>
          </cell>
          <cell r="BM28">
            <v>40484.99715994436</v>
          </cell>
          <cell r="BN28">
            <v>3.4958413614413915E-4</v>
          </cell>
          <cell r="BO28">
            <v>1005.0828458952295</v>
          </cell>
          <cell r="BP28">
            <v>41490.080005839591</v>
          </cell>
          <cell r="BQ28">
            <v>0.25037764773302512</v>
          </cell>
          <cell r="BR28">
            <v>0</v>
          </cell>
          <cell r="BS28"/>
          <cell r="BT28">
            <v>165710</v>
          </cell>
          <cell r="BU28">
            <v>0.25037764773302512</v>
          </cell>
          <cell r="BV28">
            <v>41490.080005839591</v>
          </cell>
          <cell r="BW28">
            <v>0</v>
          </cell>
          <cell r="BY28">
            <v>41490.080005839591</v>
          </cell>
          <cell r="BZ28">
            <v>3.4958413614413915E-4</v>
          </cell>
          <cell r="CA28">
            <v>0</v>
          </cell>
          <cell r="CB28">
            <v>41490.080005839591</v>
          </cell>
          <cell r="CC28">
            <v>0.25037764773302512</v>
          </cell>
          <cell r="CD28">
            <v>0</v>
          </cell>
          <cell r="CE28"/>
          <cell r="CF28">
            <v>49713</v>
          </cell>
          <cell r="CG28">
            <v>0</v>
          </cell>
          <cell r="CH28">
            <v>41490.080005839591</v>
          </cell>
          <cell r="CI28">
            <v>0.25037764773302512</v>
          </cell>
          <cell r="CL28">
            <v>0</v>
          </cell>
          <cell r="CM28">
            <v>41490.080005839591</v>
          </cell>
        </row>
        <row r="29">
          <cell r="B29" t="str">
            <v>Loudoun County</v>
          </cell>
          <cell r="C29"/>
          <cell r="D29">
            <v>25291520</v>
          </cell>
          <cell r="E29">
            <v>690827</v>
          </cell>
          <cell r="F29">
            <v>172995.92</v>
          </cell>
          <cell r="G29">
            <v>3894172</v>
          </cell>
          <cell r="H29">
            <v>3.5735198251008793E-2</v>
          </cell>
          <cell r="I29">
            <v>3.57351982510088E-2</v>
          </cell>
          <cell r="J29"/>
          <cell r="K29">
            <v>3.470492023892092</v>
          </cell>
          <cell r="L29">
            <v>4.2679119210326499</v>
          </cell>
          <cell r="M29">
            <v>4.451152820443574</v>
          </cell>
          <cell r="N29">
            <v>3.9933138307539271</v>
          </cell>
          <cell r="O29">
            <v>0.89152476012892912</v>
          </cell>
          <cell r="P29">
            <v>3.1858814048890349E-2</v>
          </cell>
          <cell r="Q29">
            <v>3.0836758306464776E-2</v>
          </cell>
          <cell r="R29">
            <v>0.16305901321605187</v>
          </cell>
          <cell r="S29">
            <v>0.18749795684455406</v>
          </cell>
          <cell r="T29">
            <v>0.20352598918826306</v>
          </cell>
          <cell r="U29">
            <v>0.17740022782763576</v>
          </cell>
          <cell r="V29">
            <v>0.87910488190980651</v>
          </cell>
          <cell r="W29">
            <v>3.1414987238476612E-2</v>
          </cell>
          <cell r="X29">
            <v>3.0446887970082995E-2</v>
          </cell>
          <cell r="Y29">
            <v>179.69728056645377</v>
          </cell>
          <cell r="Z29">
            <v>158.41301948873704</v>
          </cell>
          <cell r="AA29">
            <v>159.2898254734497</v>
          </cell>
          <cell r="AB29">
            <v>146.19720511327665</v>
          </cell>
          <cell r="AC29">
            <v>0.89241794556285381</v>
          </cell>
          <cell r="AD29">
            <v>4.004311929033473E-2</v>
          </cell>
          <cell r="AE29">
            <v>4.0102878219226479E-2</v>
          </cell>
          <cell r="AF29">
            <v>8.4429703468712045</v>
          </cell>
          <cell r="AG29">
            <v>6.9594026402794391</v>
          </cell>
          <cell r="AH29">
            <v>7.2834208585718461</v>
          </cell>
          <cell r="AI29">
            <v>6.4947105572121622</v>
          </cell>
          <cell r="AJ29">
            <v>0.88136384841768123</v>
          </cell>
          <cell r="AK29">
            <v>4.0545341535353933E-2</v>
          </cell>
          <cell r="AL29">
            <v>4.0606250528773154E-2</v>
          </cell>
          <cell r="AM29">
            <v>51.778617939287642</v>
          </cell>
          <cell r="AN29">
            <v>37.117218541475417</v>
          </cell>
          <cell r="AO29">
            <v>35.786195599003463</v>
          </cell>
          <cell r="AP29">
            <v>36.610497273557634</v>
          </cell>
          <cell r="AQ29">
            <v>1.0046673128501329</v>
          </cell>
          <cell r="AR29">
            <v>3.556918573336669E-2</v>
          </cell>
          <cell r="AS29">
            <v>3.5785689917790318E-2</v>
          </cell>
          <cell r="AT29"/>
          <cell r="AU29">
            <v>6.1673516612929559E-3</v>
          </cell>
          <cell r="AV29">
            <v>6.0893775940165998E-3</v>
          </cell>
          <cell r="AW29">
            <v>8.0205756438452968E-3</v>
          </cell>
          <cell r="AX29">
            <v>8.1212501057546307E-3</v>
          </cell>
          <cell r="AY29">
            <v>7.157137983558064E-3</v>
          </cell>
          <cell r="AZ29">
            <v>-5.0232060077122593E-3</v>
          </cell>
          <cell r="BA29">
            <v>781433.4843210564</v>
          </cell>
          <cell r="BB29">
            <v>771553.79034140846</v>
          </cell>
          <cell r="BC29">
            <v>1016245.986258009</v>
          </cell>
          <cell r="BD29">
            <v>1029001.9307658767</v>
          </cell>
          <cell r="BE29">
            <v>906844.2306216486</v>
          </cell>
          <cell r="BF29">
            <v>4505079.4223079989</v>
          </cell>
          <cell r="BH29">
            <v>25291520</v>
          </cell>
          <cell r="BI29">
            <v>0.17812608424910795</v>
          </cell>
          <cell r="BJ29">
            <v>4505079.4223079989</v>
          </cell>
          <cell r="BK29">
            <v>0</v>
          </cell>
          <cell r="BM29">
            <v>4505079.4223079989</v>
          </cell>
          <cell r="BN29">
            <v>3.8900936361346249E-2</v>
          </cell>
          <cell r="BO29">
            <v>111843.35838949538</v>
          </cell>
          <cell r="BP29">
            <v>4616922.7806974938</v>
          </cell>
          <cell r="BQ29">
            <v>0.18254825256439683</v>
          </cell>
          <cell r="BR29">
            <v>0</v>
          </cell>
          <cell r="BS29"/>
          <cell r="BT29">
            <v>25291520</v>
          </cell>
          <cell r="BU29">
            <v>0.18254825256439683</v>
          </cell>
          <cell r="BV29">
            <v>4616922.7806974938</v>
          </cell>
          <cell r="BW29">
            <v>0</v>
          </cell>
          <cell r="BY29">
            <v>4616922.7806974938</v>
          </cell>
          <cell r="BZ29">
            <v>3.8900936361346242E-2</v>
          </cell>
          <cell r="CA29">
            <v>0</v>
          </cell>
          <cell r="CB29">
            <v>4616922.7806974938</v>
          </cell>
          <cell r="CC29">
            <v>0.18254825256439683</v>
          </cell>
          <cell r="CD29">
            <v>0</v>
          </cell>
          <cell r="CE29"/>
          <cell r="CF29">
            <v>7587456</v>
          </cell>
          <cell r="CG29">
            <v>0</v>
          </cell>
          <cell r="CH29">
            <v>4616922.7806974938</v>
          </cell>
          <cell r="CI29">
            <v>0.18254825256439683</v>
          </cell>
          <cell r="CL29">
            <v>0</v>
          </cell>
          <cell r="CM29">
            <v>4616922.7806974938</v>
          </cell>
        </row>
        <row r="30">
          <cell r="B30" t="str">
            <v>NVTC - Arlington County</v>
          </cell>
          <cell r="C30"/>
          <cell r="D30">
            <v>28281032</v>
          </cell>
          <cell r="E30">
            <v>2458738</v>
          </cell>
          <cell r="F30">
            <v>230883</v>
          </cell>
          <cell r="G30">
            <v>2329537</v>
          </cell>
          <cell r="H30">
            <v>4.7219108254583177E-2</v>
          </cell>
          <cell r="I30">
            <v>4.7219108254583184E-2</v>
          </cell>
          <cell r="J30"/>
          <cell r="K30">
            <v>7.8216167510040826</v>
          </cell>
          <cell r="L30">
            <v>8.8817225863249529</v>
          </cell>
          <cell r="M30">
            <v>9.7390196531791915</v>
          </cell>
          <cell r="N30">
            <v>10.649281237683155</v>
          </cell>
          <cell r="O30">
            <v>0.94314927205126431</v>
          </cell>
          <cell r="P30">
            <v>4.4534667577219973E-2</v>
          </cell>
          <cell r="Q30">
            <v>4.3105960511587785E-2</v>
          </cell>
          <cell r="R30">
            <v>0.78433143162528551</v>
          </cell>
          <cell r="S30">
            <v>0.87157122671755427</v>
          </cell>
          <cell r="T30">
            <v>0.95474957839955032</v>
          </cell>
          <cell r="U30">
            <v>1.0554620939697459</v>
          </cell>
          <cell r="V30">
            <v>0.94426272197974803</v>
          </cell>
          <cell r="W30">
            <v>4.4587243689929106E-2</v>
          </cell>
          <cell r="X30">
            <v>4.321322186817135E-2</v>
          </cell>
          <cell r="Y30">
            <v>115.12446224595757</v>
          </cell>
          <cell r="Z30">
            <v>128.33355179497212</v>
          </cell>
          <cell r="AA30">
            <v>109.8271676300578</v>
          </cell>
          <cell r="AB30">
            <v>122.49075072655847</v>
          </cell>
          <cell r="AC30">
            <v>0.98733751771107381</v>
          </cell>
          <cell r="AD30">
            <v>4.782468751319241E-2</v>
          </cell>
          <cell r="AE30">
            <v>4.7896059378097572E-2</v>
          </cell>
          <cell r="AF30">
            <v>11.544382339734495</v>
          </cell>
          <cell r="AG30">
            <v>12.593483986899244</v>
          </cell>
          <cell r="AH30">
            <v>10.766734817850473</v>
          </cell>
          <cell r="AI30">
            <v>12.140194381973757</v>
          </cell>
          <cell r="AJ30">
            <v>0.98862782106337344</v>
          </cell>
          <cell r="AK30">
            <v>4.7762269327798257E-2</v>
          </cell>
          <cell r="AL30">
            <v>4.783401990722394E-2</v>
          </cell>
          <cell r="AM30">
            <v>14.718755202519828</v>
          </cell>
          <cell r="AN30">
            <v>14.449173631313958</v>
          </cell>
          <cell r="AO30">
            <v>11.277024951295379</v>
          </cell>
          <cell r="AP30">
            <v>11.502255221987866</v>
          </cell>
          <cell r="AQ30">
            <v>1.0492744422797424</v>
          </cell>
          <cell r="AR30">
            <v>4.5001675778922959E-2</v>
          </cell>
          <cell r="AS30">
            <v>4.527559408521336E-2</v>
          </cell>
          <cell r="AT30"/>
          <cell r="AU30">
            <v>8.6211921023175569E-3</v>
          </cell>
          <cell r="AV30">
            <v>8.6426443736342708E-3</v>
          </cell>
          <cell r="AW30">
            <v>9.5792118756195151E-3</v>
          </cell>
          <cell r="AX30">
            <v>9.5668039814447887E-3</v>
          </cell>
          <cell r="AY30">
            <v>9.0551188170426723E-3</v>
          </cell>
          <cell r="AZ30">
            <v>-3.7148882504660981E-2</v>
          </cell>
          <cell r="BA30">
            <v>1092347.0159479806</v>
          </cell>
          <cell r="BB30">
            <v>1095065.1231749174</v>
          </cell>
          <cell r="BC30">
            <v>1213732.785823615</v>
          </cell>
          <cell r="BD30">
            <v>1212160.6452176403</v>
          </cell>
          <cell r="BE30">
            <v>1147327.6434928267</v>
          </cell>
          <cell r="BF30">
            <v>5760633.2136569805</v>
          </cell>
          <cell r="BH30">
            <v>28281032</v>
          </cell>
          <cell r="BI30">
            <v>0.20369246828252169</v>
          </cell>
          <cell r="BJ30">
            <v>5760633.2136569805</v>
          </cell>
          <cell r="BK30">
            <v>0</v>
          </cell>
          <cell r="BM30">
            <v>5760633.2136569805</v>
          </cell>
          <cell r="BN30">
            <v>4.9742525056466605E-2</v>
          </cell>
          <cell r="BO30">
            <v>143013.80834156138</v>
          </cell>
          <cell r="BP30">
            <v>5903647.0219985424</v>
          </cell>
          <cell r="BQ30">
            <v>0.20874934910432344</v>
          </cell>
          <cell r="BR30">
            <v>0</v>
          </cell>
          <cell r="BS30"/>
          <cell r="BT30">
            <v>28281032</v>
          </cell>
          <cell r="BU30">
            <v>0.20874934910432344</v>
          </cell>
          <cell r="BV30">
            <v>5903647.0219985424</v>
          </cell>
          <cell r="BW30">
            <v>0</v>
          </cell>
          <cell r="BY30">
            <v>5903647.0219985424</v>
          </cell>
          <cell r="BZ30">
            <v>4.9742525056466605E-2</v>
          </cell>
          <cell r="CA30">
            <v>0</v>
          </cell>
          <cell r="CB30">
            <v>5903647.0219985424</v>
          </cell>
          <cell r="CC30">
            <v>0.20874934910432344</v>
          </cell>
          <cell r="CD30">
            <v>0</v>
          </cell>
          <cell r="CE30"/>
          <cell r="CF30">
            <v>8484309.5999999996</v>
          </cell>
          <cell r="CG30">
            <v>0</v>
          </cell>
          <cell r="CH30">
            <v>5903647.0219985424</v>
          </cell>
          <cell r="CI30">
            <v>0.20874934910432344</v>
          </cell>
          <cell r="CL30">
            <v>0</v>
          </cell>
          <cell r="CM30">
            <v>5903647.0219985424</v>
          </cell>
        </row>
        <row r="31">
          <cell r="B31" t="str">
            <v>NVTC - City of Alexandria</v>
          </cell>
          <cell r="C31"/>
          <cell r="D31">
            <v>35845053</v>
          </cell>
          <cell r="E31">
            <v>5351810</v>
          </cell>
          <cell r="F31">
            <v>308856.31</v>
          </cell>
          <cell r="G31">
            <v>2865159</v>
          </cell>
          <cell r="H31">
            <v>7.2693203380791147E-2</v>
          </cell>
          <cell r="I31">
            <v>7.269320338079116E-2</v>
          </cell>
          <cell r="J31"/>
          <cell r="K31">
            <v>7.2218469159098948</v>
          </cell>
          <cell r="L31">
            <v>11.021126607734487</v>
          </cell>
          <cell r="M31">
            <v>14.745469355165852</v>
          </cell>
          <cell r="N31">
            <v>17.327831184669662</v>
          </cell>
          <cell r="O31">
            <v>1.1378339509151447</v>
          </cell>
          <cell r="P31">
            <v>8.2712794807443757E-2</v>
          </cell>
          <cell r="Q31">
            <v>8.0059303476119059E-2</v>
          </cell>
          <cell r="R31">
            <v>0.80452628182287345</v>
          </cell>
          <cell r="S31">
            <v>1.2173072182855937</v>
          </cell>
          <cell r="T31">
            <v>1.5082541507857004</v>
          </cell>
          <cell r="U31">
            <v>1.8678928464353985</v>
          </cell>
          <cell r="V31">
            <v>1.1322299531663331</v>
          </cell>
          <cell r="W31">
            <v>8.2305422259343911E-2</v>
          </cell>
          <cell r="X31">
            <v>7.9769059011151722E-2</v>
          </cell>
          <cell r="Y31">
            <v>113.69054841372804</v>
          </cell>
          <cell r="Z31">
            <v>98.632543150219192</v>
          </cell>
          <cell r="AA31">
            <v>103.11566062580688</v>
          </cell>
          <cell r="AB31">
            <v>116.71198169789699</v>
          </cell>
          <cell r="AC31">
            <v>0.96878639742207318</v>
          </cell>
          <cell r="AD31">
            <v>7.5035326233137398E-2</v>
          </cell>
          <cell r="AE31">
            <v>7.5147306288742541E-2</v>
          </cell>
          <cell r="AF31">
            <v>12.665324432756394</v>
          </cell>
          <cell r="AG31">
            <v>10.894177247756708</v>
          </cell>
          <cell r="AH31">
            <v>10.547281975490128</v>
          </cell>
          <cell r="AI31">
            <v>12.581232664574635</v>
          </cell>
          <cell r="AJ31">
            <v>0.96628072093214301</v>
          </cell>
          <cell r="AK31">
            <v>7.5229901421055095E-2</v>
          </cell>
          <cell r="AL31">
            <v>7.5342915084205223E-2</v>
          </cell>
          <cell r="AM31">
            <v>15.742586313102974</v>
          </cell>
          <cell r="AN31">
            <v>8.9494065952386492</v>
          </cell>
          <cell r="AO31">
            <v>6.9930402445739626</v>
          </cell>
          <cell r="AP31">
            <v>6.7355216272625524</v>
          </cell>
          <cell r="AQ31">
            <v>0.85513349272278338</v>
          </cell>
          <cell r="AR31">
            <v>8.5008018045618527E-2</v>
          </cell>
          <cell r="AS31">
            <v>8.5525448828386516E-2</v>
          </cell>
          <cell r="AT31"/>
          <cell r="AU31">
            <v>1.6011860695223812E-2</v>
          </cell>
          <cell r="AV31">
            <v>1.5953811802230346E-2</v>
          </cell>
          <cell r="AW31">
            <v>1.5029461257748509E-2</v>
          </cell>
          <cell r="AX31">
            <v>1.5068583016841046E-2</v>
          </cell>
          <cell r="AY31">
            <v>1.7105089765677303E-2</v>
          </cell>
          <cell r="AZ31">
            <v>8.9081273843559933E-2</v>
          </cell>
          <cell r="BA31">
            <v>2028780.711834582</v>
          </cell>
          <cell r="BB31">
            <v>2021425.6344522499</v>
          </cell>
          <cell r="BC31">
            <v>1904305.9198036001</v>
          </cell>
          <cell r="BD31">
            <v>1909262.8371644695</v>
          </cell>
          <cell r="BE31">
            <v>2167298.1579933832</v>
          </cell>
          <cell r="BF31">
            <v>10031073.261248285</v>
          </cell>
          <cell r="BH31">
            <v>36047232</v>
          </cell>
          <cell r="BI31">
            <v>0.27827582603979928</v>
          </cell>
          <cell r="BJ31">
            <v>10031073.261248285</v>
          </cell>
          <cell r="BK31">
            <v>0</v>
          </cell>
          <cell r="BM31">
            <v>10031073.261248285</v>
          </cell>
          <cell r="BN31">
            <v>8.6617372523902961E-2</v>
          </cell>
          <cell r="BO31">
            <v>249031.99624709625</v>
          </cell>
          <cell r="BP31">
            <v>10280105.257495381</v>
          </cell>
          <cell r="BQ31">
            <v>0.28518431755024576</v>
          </cell>
          <cell r="BR31">
            <v>0</v>
          </cell>
          <cell r="BS31"/>
          <cell r="BT31">
            <v>36047232</v>
          </cell>
          <cell r="BU31">
            <v>0.28518431755024576</v>
          </cell>
          <cell r="BV31">
            <v>10280105.257495381</v>
          </cell>
          <cell r="BW31">
            <v>0</v>
          </cell>
          <cell r="BY31">
            <v>10280105.257495381</v>
          </cell>
          <cell r="BZ31">
            <v>8.6617372523902961E-2</v>
          </cell>
          <cell r="CA31">
            <v>0</v>
          </cell>
          <cell r="CB31">
            <v>10280105.257495381</v>
          </cell>
          <cell r="CC31">
            <v>0.28518431755024576</v>
          </cell>
          <cell r="CD31">
            <v>0</v>
          </cell>
          <cell r="CE31"/>
          <cell r="CF31">
            <v>10814169.6</v>
          </cell>
          <cell r="CG31">
            <v>0</v>
          </cell>
          <cell r="CH31">
            <v>10280105.257495381</v>
          </cell>
          <cell r="CI31">
            <v>0.28518431755024576</v>
          </cell>
          <cell r="CL31">
            <v>170685.8</v>
          </cell>
          <cell r="CM31">
            <v>10450791.057495382</v>
          </cell>
        </row>
        <row r="32">
          <cell r="B32" t="str">
            <v>NVTC - City of Fairfax</v>
          </cell>
          <cell r="C32"/>
          <cell r="D32">
            <v>5453602</v>
          </cell>
          <cell r="E32">
            <v>1002134</v>
          </cell>
          <cell r="F32">
            <v>34526</v>
          </cell>
          <cell r="G32">
            <v>434414</v>
          </cell>
          <cell r="H32">
            <v>1.1852937979457188E-2</v>
          </cell>
          <cell r="I32">
            <v>1.185293797945719E-2</v>
          </cell>
          <cell r="J32"/>
          <cell r="K32">
            <v>9.5356184364060681</v>
          </cell>
          <cell r="L32">
            <v>13.465131541402728</v>
          </cell>
          <cell r="M32">
            <v>24.467665569605636</v>
          </cell>
          <cell r="N32">
            <v>29.025488038000347</v>
          </cell>
          <cell r="O32">
            <v>1.2460987517963511</v>
          </cell>
          <cell r="P32">
            <v>1.4769931221321168E-2</v>
          </cell>
          <cell r="Q32">
            <v>1.429610024328111E-2</v>
          </cell>
          <cell r="R32">
            <v>0.74451206457520036</v>
          </cell>
          <cell r="S32">
            <v>1.0865963144527517</v>
          </cell>
          <cell r="T32">
            <v>1.9292701193514095</v>
          </cell>
          <cell r="U32">
            <v>2.3068639592646645</v>
          </cell>
          <cell r="V32">
            <v>1.2548259859674822</v>
          </cell>
          <cell r="W32">
            <v>1.4873374586683785E-2</v>
          </cell>
          <cell r="X32">
            <v>1.4415029563443501E-2</v>
          </cell>
          <cell r="Y32">
            <v>133.20037922987166</v>
          </cell>
          <cell r="Z32">
            <v>152.54685270786965</v>
          </cell>
          <cell r="AA32">
            <v>153.82888734915412</v>
          </cell>
          <cell r="AB32">
            <v>157.95638069860394</v>
          </cell>
          <cell r="AC32">
            <v>1.0154239429893224</v>
          </cell>
          <cell r="AD32">
            <v>1.1672895898596936E-2</v>
          </cell>
          <cell r="AE32">
            <v>1.1690316113813121E-2</v>
          </cell>
          <cell r="AF32">
            <v>10.399880196968939</v>
          </cell>
          <cell r="AG32">
            <v>12.310080107577638</v>
          </cell>
          <cell r="AH32">
            <v>12.129374378259513</v>
          </cell>
          <cell r="AI32">
            <v>12.553927820005802</v>
          </cell>
          <cell r="AJ32">
            <v>1.0297394729691056</v>
          </cell>
          <cell r="AK32">
            <v>1.1510618258889259E-2</v>
          </cell>
          <cell r="AL32">
            <v>1.152791001535826E-2</v>
          </cell>
          <cell r="AM32">
            <v>13.968719503427852</v>
          </cell>
          <cell r="AN32">
            <v>11.329028033541075</v>
          </cell>
          <cell r="AO32">
            <v>6.2870275430053413</v>
          </cell>
          <cell r="AP32">
            <v>5.4419887959095288</v>
          </cell>
          <cell r="AQ32">
            <v>0.84226751674459921</v>
          </cell>
          <cell r="AR32">
            <v>1.4072652386345509E-2</v>
          </cell>
          <cell r="AS32">
            <v>1.4158310465516123E-2</v>
          </cell>
          <cell r="AT32"/>
          <cell r="AU32">
            <v>2.8592200486562223E-3</v>
          </cell>
          <cell r="AV32">
            <v>2.8830059126887003E-3</v>
          </cell>
          <cell r="AW32">
            <v>2.3380632227626244E-3</v>
          </cell>
          <cell r="AX32">
            <v>2.3055820030716523E-3</v>
          </cell>
          <cell r="AY32">
            <v>2.8316620931032248E-3</v>
          </cell>
          <cell r="AZ32">
            <v>0.11512717802035832</v>
          </cell>
          <cell r="BA32">
            <v>362277.10170716024</v>
          </cell>
          <cell r="BB32">
            <v>365290.88649344724</v>
          </cell>
          <cell r="BC32">
            <v>296243.99435385613</v>
          </cell>
          <cell r="BD32">
            <v>292128.46566795133</v>
          </cell>
          <cell r="BE32">
            <v>358785.37455890991</v>
          </cell>
          <cell r="BF32">
            <v>1674725.8227813249</v>
          </cell>
          <cell r="BH32">
            <v>5453602</v>
          </cell>
          <cell r="BI32">
            <v>0.3070861831833942</v>
          </cell>
          <cell r="BJ32">
            <v>1636080.5999999999</v>
          </cell>
          <cell r="BK32">
            <v>38645.222781324992</v>
          </cell>
          <cell r="BM32">
            <v>0</v>
          </cell>
          <cell r="BN32">
            <v>0</v>
          </cell>
          <cell r="BO32">
            <v>0</v>
          </cell>
          <cell r="BP32">
            <v>1636080.5999999999</v>
          </cell>
          <cell r="BQ32">
            <v>0.3</v>
          </cell>
          <cell r="BR32">
            <v>0</v>
          </cell>
          <cell r="BS32"/>
          <cell r="BT32">
            <v>5453602</v>
          </cell>
          <cell r="BU32">
            <v>0.3</v>
          </cell>
          <cell r="BV32">
            <v>1636080.5999999999</v>
          </cell>
          <cell r="BW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1636080.5999999999</v>
          </cell>
          <cell r="CC32">
            <v>0.3</v>
          </cell>
          <cell r="CD32">
            <v>0</v>
          </cell>
          <cell r="CE32"/>
          <cell r="CF32">
            <v>1636080.5999999999</v>
          </cell>
          <cell r="CG32">
            <v>0</v>
          </cell>
          <cell r="CH32">
            <v>1636080.5999999999</v>
          </cell>
          <cell r="CI32">
            <v>0.3</v>
          </cell>
          <cell r="CL32">
            <v>0</v>
          </cell>
          <cell r="CM32">
            <v>1636080.5999999999</v>
          </cell>
        </row>
        <row r="33">
          <cell r="B33" t="str">
            <v>NVTC - Fairfax County</v>
          </cell>
          <cell r="C33"/>
          <cell r="D33">
            <v>110780790</v>
          </cell>
          <cell r="E33">
            <v>8721363</v>
          </cell>
          <cell r="F33">
            <v>819202.73699999996</v>
          </cell>
          <cell r="G33">
            <v>10820543.213</v>
          </cell>
          <cell r="H33">
            <v>0.18057153245697952</v>
          </cell>
          <cell r="I33">
            <v>0.18057153245697954</v>
          </cell>
          <cell r="J33"/>
          <cell r="K33">
            <v>5.8735316212753474</v>
          </cell>
          <cell r="L33">
            <v>6.1587343955565519</v>
          </cell>
          <cell r="M33">
            <v>9.8555669967058908</v>
          </cell>
          <cell r="N33">
            <v>10.646159498854312</v>
          </cell>
          <cell r="O33">
            <v>1.0577335192633481</v>
          </cell>
          <cell r="P33">
            <v>0.19099656250449687</v>
          </cell>
          <cell r="Q33">
            <v>0.18486924297553703</v>
          </cell>
          <cell r="R33">
            <v>0.454872375587629</v>
          </cell>
          <cell r="S33">
            <v>0.47446458788106716</v>
          </cell>
          <cell r="T33">
            <v>0.7557807792342961</v>
          </cell>
          <cell r="U33">
            <v>0.80600047782462481</v>
          </cell>
          <cell r="V33">
            <v>1.0532283509620195</v>
          </cell>
          <cell r="W33">
            <v>0.19018305736034935</v>
          </cell>
          <cell r="X33">
            <v>0.18432228532521344</v>
          </cell>
          <cell r="Y33">
            <v>123.96447205256577</v>
          </cell>
          <cell r="Z33">
            <v>123.17011468072208</v>
          </cell>
          <cell r="AA33">
            <v>127.77476943594867</v>
          </cell>
          <cell r="AB33">
            <v>135.70313913636252</v>
          </cell>
          <cell r="AC33">
            <v>0.9854985928540646</v>
          </cell>
          <cell r="AD33">
            <v>0.18322860505973251</v>
          </cell>
          <cell r="AE33">
            <v>0.18350204892161823</v>
          </cell>
          <cell r="AF33">
            <v>9.6003592943580749</v>
          </cell>
          <cell r="AG33">
            <v>9.4889394391510358</v>
          </cell>
          <cell r="AH33">
            <v>9.7984940737616739</v>
          </cell>
          <cell r="AI33">
            <v>10.273826443984833</v>
          </cell>
          <cell r="AJ33">
            <v>0.98269843075003915</v>
          </cell>
          <cell r="AK33">
            <v>0.18375070805715982</v>
          </cell>
          <cell r="AL33">
            <v>0.18402674644391434</v>
          </cell>
          <cell r="AM33">
            <v>21.10561073742015</v>
          </cell>
          <cell r="AN33">
            <v>19.999257439903197</v>
          </cell>
          <cell r="AO33">
            <v>12.964730439015423</v>
          </cell>
          <cell r="AP33">
            <v>12.746675376314458</v>
          </cell>
          <cell r="AQ33">
            <v>0.97433760769024191</v>
          </cell>
          <cell r="AR33">
            <v>0.18532747892698218</v>
          </cell>
          <cell r="AS33">
            <v>0.1864555388993738</v>
          </cell>
          <cell r="AT33"/>
          <cell r="AU33">
            <v>3.6973848595107404E-2</v>
          </cell>
          <cell r="AV33">
            <v>3.686445706504269E-2</v>
          </cell>
          <cell r="AW33">
            <v>3.6700409784323644E-2</v>
          </cell>
          <cell r="AX33">
            <v>3.6805349288782867E-2</v>
          </cell>
          <cell r="AY33">
            <v>3.7291107779874759E-2</v>
          </cell>
          <cell r="AZ33">
            <v>2.2504322806918563E-2</v>
          </cell>
          <cell r="BA33">
            <v>4684766.6426689178</v>
          </cell>
          <cell r="BB33">
            <v>4670906.2031823583</v>
          </cell>
          <cell r="BC33">
            <v>4650120.6139690457</v>
          </cell>
          <cell r="BD33">
            <v>4663416.9601344764</v>
          </cell>
          <cell r="BE33">
            <v>4724964.9261139119</v>
          </cell>
          <cell r="BF33">
            <v>23394175.34606871</v>
          </cell>
          <cell r="BH33">
            <v>111168383</v>
          </cell>
          <cell r="BI33">
            <v>0.21043910790776466</v>
          </cell>
          <cell r="BJ33">
            <v>23394175.34606871</v>
          </cell>
          <cell r="BK33">
            <v>0</v>
          </cell>
          <cell r="BM33">
            <v>23394175.34606871</v>
          </cell>
          <cell r="BN33">
            <v>0.20200650000913048</v>
          </cell>
          <cell r="BO33">
            <v>580785.12989158556</v>
          </cell>
          <cell r="BP33">
            <v>23974960.475960296</v>
          </cell>
          <cell r="BQ33">
            <v>0.2156634811892541</v>
          </cell>
          <cell r="BR33">
            <v>0</v>
          </cell>
          <cell r="BS33"/>
          <cell r="BT33">
            <v>111168383</v>
          </cell>
          <cell r="BU33">
            <v>0.2156634811892541</v>
          </cell>
          <cell r="BV33">
            <v>23974960.475960296</v>
          </cell>
          <cell r="BW33">
            <v>0</v>
          </cell>
          <cell r="BY33">
            <v>23974960.475960296</v>
          </cell>
          <cell r="BZ33">
            <v>0.20200650000913045</v>
          </cell>
          <cell r="CA33">
            <v>0</v>
          </cell>
          <cell r="CB33">
            <v>23974960.475960296</v>
          </cell>
          <cell r="CC33">
            <v>0.2156634811892541</v>
          </cell>
          <cell r="CD33">
            <v>0</v>
          </cell>
          <cell r="CE33"/>
          <cell r="CF33">
            <v>33350514.899999999</v>
          </cell>
          <cell r="CG33">
            <v>0</v>
          </cell>
          <cell r="CH33">
            <v>23974960.475960296</v>
          </cell>
          <cell r="CI33">
            <v>0.2156634811892541</v>
          </cell>
          <cell r="CL33">
            <v>0</v>
          </cell>
          <cell r="CM33">
            <v>23974960.475960296</v>
          </cell>
        </row>
        <row r="34">
          <cell r="B34" t="str">
            <v>PRTC</v>
          </cell>
          <cell r="C34"/>
          <cell r="D34">
            <v>43121644</v>
          </cell>
          <cell r="E34">
            <v>1972474</v>
          </cell>
          <cell r="F34">
            <v>236658.2</v>
          </cell>
          <cell r="G34">
            <v>5670767.6500000004</v>
          </cell>
          <cell r="H34">
            <v>6.2705152368961001E-2</v>
          </cell>
          <cell r="I34">
            <v>6.2705152368961015E-2</v>
          </cell>
          <cell r="J34"/>
          <cell r="K34">
            <v>3.1822121529637459</v>
          </cell>
          <cell r="L34">
            <v>5.5899358680714615</v>
          </cell>
          <cell r="M34">
            <v>7.9037213878664074</v>
          </cell>
          <cell r="N34">
            <v>8.3346953538901243</v>
          </cell>
          <cell r="O34">
            <v>1.1815671689829572</v>
          </cell>
          <cell r="P34">
            <v>7.4090349365238242E-2</v>
          </cell>
          <cell r="Q34">
            <v>7.171347284651873E-2</v>
          </cell>
          <cell r="R34">
            <v>0.14309026388335411</v>
          </cell>
          <cell r="S34">
            <v>0.23474655175730527</v>
          </cell>
          <cell r="T34">
            <v>0.3221618701088883</v>
          </cell>
          <cell r="U34">
            <v>0.34783192007523001</v>
          </cell>
          <cell r="V34">
            <v>1.1540245701714695</v>
          </cell>
          <cell r="W34">
            <v>7.2363286510126745E-2</v>
          </cell>
          <cell r="X34">
            <v>7.0133304871197122E-2</v>
          </cell>
          <cell r="Y34">
            <v>162.67460550900779</v>
          </cell>
          <cell r="Z34">
            <v>182.03086120018324</v>
          </cell>
          <cell r="AA34">
            <v>228.02756454118199</v>
          </cell>
          <cell r="AB34">
            <v>209.00700250403324</v>
          </cell>
          <cell r="AC34">
            <v>1.045677971525393</v>
          </cell>
          <cell r="AD34">
            <v>5.9966025943426211E-2</v>
          </cell>
          <cell r="AE34">
            <v>6.0055517110542626E-2</v>
          </cell>
          <cell r="AF34">
            <v>7.31477070368339</v>
          </cell>
          <cell r="AG34">
            <v>7.6442946732585657</v>
          </cell>
          <cell r="AH34">
            <v>9.2945820106638735</v>
          </cell>
          <cell r="AI34">
            <v>8.722491213336875</v>
          </cell>
          <cell r="AJ34">
            <v>1.0220822440114024</v>
          </cell>
          <cell r="AK34">
            <v>6.1350397912070052E-2</v>
          </cell>
          <cell r="AL34">
            <v>6.1442561175251209E-2</v>
          </cell>
          <cell r="AM34">
            <v>51.119974938660576</v>
          </cell>
          <cell r="AN34">
            <v>32.564033916722593</v>
          </cell>
          <cell r="AO34">
            <v>28.850658234391222</v>
          </cell>
          <cell r="AP34">
            <v>25.07674169596152</v>
          </cell>
          <cell r="AQ34">
            <v>0.88959546780913978</v>
          </cell>
          <cell r="AR34">
            <v>7.0487265996744305E-2</v>
          </cell>
          <cell r="AS34">
            <v>7.0916311186343936E-2</v>
          </cell>
          <cell r="AT34"/>
          <cell r="AU34">
            <v>1.4342694569303746E-2</v>
          </cell>
          <cell r="AV34">
            <v>1.4026660974239425E-2</v>
          </cell>
          <cell r="AW34">
            <v>1.2011103422108526E-2</v>
          </cell>
          <cell r="AX34">
            <v>1.2288512235050243E-2</v>
          </cell>
          <cell r="AY34">
            <v>1.4183262237268788E-2</v>
          </cell>
          <cell r="AZ34">
            <v>6.6136209104604812E-2</v>
          </cell>
          <cell r="BA34">
            <v>1817289.2365106426</v>
          </cell>
          <cell r="BB34">
            <v>1777246.2412484188</v>
          </cell>
          <cell r="BC34">
            <v>1521865.2856437124</v>
          </cell>
          <cell r="BD34">
            <v>1557014.3329469382</v>
          </cell>
          <cell r="BE34">
            <v>1797088.3837657887</v>
          </cell>
          <cell r="BF34">
            <v>8470503.4801155012</v>
          </cell>
          <cell r="BH34">
            <v>49463221</v>
          </cell>
          <cell r="BI34">
            <v>0.17124852180806222</v>
          </cell>
          <cell r="BJ34">
            <v>8470503.4801155012</v>
          </cell>
          <cell r="BK34">
            <v>0</v>
          </cell>
          <cell r="BM34">
            <v>8470503.4801155012</v>
          </cell>
          <cell r="BN34">
            <v>7.3141999494367047E-2</v>
          </cell>
          <cell r="BO34">
            <v>210289.20195610638</v>
          </cell>
          <cell r="BP34">
            <v>8680792.6820716076</v>
          </cell>
          <cell r="BQ34">
            <v>0.17549994736637972</v>
          </cell>
          <cell r="BR34">
            <v>0</v>
          </cell>
          <cell r="BS34"/>
          <cell r="BT34">
            <v>49463221</v>
          </cell>
          <cell r="BU34">
            <v>0.17549994736637972</v>
          </cell>
          <cell r="BV34">
            <v>8680792.6820716076</v>
          </cell>
          <cell r="BW34">
            <v>0</v>
          </cell>
          <cell r="BY34">
            <v>8680792.6820716076</v>
          </cell>
          <cell r="BZ34">
            <v>7.3141999494367047E-2</v>
          </cell>
          <cell r="CA34">
            <v>0</v>
          </cell>
          <cell r="CB34">
            <v>8680792.6820716076</v>
          </cell>
          <cell r="CC34">
            <v>0.17549994736637972</v>
          </cell>
          <cell r="CD34">
            <v>0</v>
          </cell>
          <cell r="CE34"/>
          <cell r="CF34">
            <v>14838966.299999999</v>
          </cell>
          <cell r="CG34">
            <v>0</v>
          </cell>
          <cell r="CH34">
            <v>8680792.6820716076</v>
          </cell>
          <cell r="CI34">
            <v>0.17549994736637972</v>
          </cell>
          <cell r="CL34">
            <v>0</v>
          </cell>
          <cell r="CM34">
            <v>8680792.6820716076</v>
          </cell>
        </row>
        <row r="35">
          <cell r="B35" t="str">
            <v>City of Petersburg</v>
          </cell>
          <cell r="C35"/>
          <cell r="D35">
            <v>3929042</v>
          </cell>
          <cell r="E35">
            <v>471466</v>
          </cell>
          <cell r="F35">
            <v>41575</v>
          </cell>
          <cell r="G35">
            <v>539337</v>
          </cell>
          <cell r="H35">
            <v>7.8235461962122069E-3</v>
          </cell>
          <cell r="I35">
            <v>7.8235461962122086E-3</v>
          </cell>
          <cell r="J35"/>
          <cell r="K35">
            <v>7.0651748073074137</v>
          </cell>
          <cell r="L35">
            <v>8.5454680032144825</v>
          </cell>
          <cell r="M35">
            <v>10.854112978631212</v>
          </cell>
          <cell r="N35">
            <v>11.340132291040289</v>
          </cell>
          <cell r="O35">
            <v>0.99594867084409577</v>
          </cell>
          <cell r="P35">
            <v>7.7918504354049303E-3</v>
          </cell>
          <cell r="Q35">
            <v>7.5418817620762323E-3</v>
          </cell>
          <cell r="R35">
            <v>0.60435953803758868</v>
          </cell>
          <cell r="S35">
            <v>0.7290038463481342</v>
          </cell>
          <cell r="T35">
            <v>0.86015998033680452</v>
          </cell>
          <cell r="U35">
            <v>0.8741584575135769</v>
          </cell>
          <cell r="V35">
            <v>0.96537457981459074</v>
          </cell>
          <cell r="W35">
            <v>7.5526526218284004E-3</v>
          </cell>
          <cell r="X35">
            <v>7.3199064671946677E-3</v>
          </cell>
          <cell r="Y35">
            <v>99.128071370778855</v>
          </cell>
          <cell r="Z35">
            <v>86.295224802267057</v>
          </cell>
          <cell r="AA35">
            <v>108.01972678966453</v>
          </cell>
          <cell r="AB35">
            <v>94.504918821407102</v>
          </cell>
          <cell r="AC35">
            <v>0.94994437862677639</v>
          </cell>
          <cell r="AD35">
            <v>8.2357939814558367E-3</v>
          </cell>
          <cell r="AE35">
            <v>8.248084787857218E-3</v>
          </cell>
          <cell r="AF35">
            <v>8.4794781522232086</v>
          </cell>
          <cell r="AG35">
            <v>7.3617443513527165</v>
          </cell>
          <cell r="AH35">
            <v>8.5602799836621983</v>
          </cell>
          <cell r="AI35">
            <v>7.2849480009715633</v>
          </cell>
          <cell r="AJ35">
            <v>0.91837200860332668</v>
          </cell>
          <cell r="AK35">
            <v>8.5189292823834757E-3</v>
          </cell>
          <cell r="AL35">
            <v>8.5317267922317298E-3</v>
          </cell>
          <cell r="AM35">
            <v>14.030519282870687</v>
          </cell>
          <cell r="AN35">
            <v>10.098361467131589</v>
          </cell>
          <cell r="AO35">
            <v>9.9519626341024754</v>
          </cell>
          <cell r="AP35">
            <v>8.3336698722707467</v>
          </cell>
          <cell r="AQ35">
            <v>0.94966951764901175</v>
          </cell>
          <cell r="AR35">
            <v>8.2381776510844183E-3</v>
          </cell>
          <cell r="AS35">
            <v>8.2883221763725493E-3</v>
          </cell>
          <cell r="AT35"/>
          <cell r="AU35">
            <v>1.5083763524152466E-3</v>
          </cell>
          <cell r="AV35">
            <v>1.4639812934389336E-3</v>
          </cell>
          <cell r="AW35">
            <v>1.6496169575714436E-3</v>
          </cell>
          <cell r="AX35">
            <v>1.7063453584463461E-3</v>
          </cell>
          <cell r="AY35">
            <v>1.6576644352745099E-3</v>
          </cell>
          <cell r="AZ35">
            <v>2.0762733019064516E-2</v>
          </cell>
          <cell r="BA35">
            <v>191118.62813547166</v>
          </cell>
          <cell r="BB35">
            <v>185493.55800363063</v>
          </cell>
          <cell r="BC35">
            <v>209014.50050926831</v>
          </cell>
          <cell r="BD35">
            <v>216202.26511070234</v>
          </cell>
          <cell r="BE35">
            <v>210034.15511741576</v>
          </cell>
          <cell r="BF35">
            <v>1011863.1068764888</v>
          </cell>
          <cell r="BH35">
            <v>3929042</v>
          </cell>
          <cell r="BI35">
            <v>0.2575343065501689</v>
          </cell>
          <cell r="BJ35">
            <v>1011863.1068764888</v>
          </cell>
          <cell r="BK35">
            <v>0</v>
          </cell>
          <cell r="BM35">
            <v>1011863.1068764888</v>
          </cell>
          <cell r="BN35">
            <v>8.7373425942467876E-3</v>
          </cell>
          <cell r="BO35">
            <v>25120.571136461156</v>
          </cell>
          <cell r="BP35">
            <v>1036983.6780129499</v>
          </cell>
          <cell r="BQ35">
            <v>0.26392786791613576</v>
          </cell>
          <cell r="BR35">
            <v>0</v>
          </cell>
          <cell r="BS35"/>
          <cell r="BT35">
            <v>3929042</v>
          </cell>
          <cell r="BU35">
            <v>0.26392786791613576</v>
          </cell>
          <cell r="BV35">
            <v>1036983.6780129499</v>
          </cell>
          <cell r="BW35">
            <v>0</v>
          </cell>
          <cell r="BY35">
            <v>1036983.6780129499</v>
          </cell>
          <cell r="BZ35">
            <v>8.7373425942467858E-3</v>
          </cell>
          <cell r="CA35">
            <v>0</v>
          </cell>
          <cell r="CB35">
            <v>1036983.6780129499</v>
          </cell>
          <cell r="CC35">
            <v>0.26392786791613576</v>
          </cell>
          <cell r="CD35">
            <v>0</v>
          </cell>
          <cell r="CE35"/>
          <cell r="CF35">
            <v>1178712.5999999999</v>
          </cell>
          <cell r="CG35">
            <v>0</v>
          </cell>
          <cell r="CH35">
            <v>1036983.6780129499</v>
          </cell>
          <cell r="CI35">
            <v>0.26392786791613576</v>
          </cell>
          <cell r="CL35">
            <v>0</v>
          </cell>
          <cell r="CM35">
            <v>1036983.6780129499</v>
          </cell>
        </row>
        <row r="36">
          <cell r="B36" t="str">
            <v>Greater Richmond Transit Company</v>
          </cell>
          <cell r="C36"/>
          <cell r="D36">
            <v>74193463</v>
          </cell>
          <cell r="E36">
            <v>10824111</v>
          </cell>
          <cell r="F36">
            <v>633650.79</v>
          </cell>
          <cell r="G36">
            <v>7725466.0599999996</v>
          </cell>
          <cell r="H36">
            <v>0.15163105844129859</v>
          </cell>
          <cell r="I36">
            <v>0.15163105844129862</v>
          </cell>
          <cell r="J36"/>
          <cell r="K36">
            <v>12.685908078458269</v>
          </cell>
          <cell r="L36">
            <v>14.999735241854868</v>
          </cell>
          <cell r="M36">
            <v>16.489050494667865</v>
          </cell>
          <cell r="N36">
            <v>17.082139201625552</v>
          </cell>
          <cell r="O36">
            <v>0.93821685004918709</v>
          </cell>
          <cell r="P36">
            <v>0.1422628140204194</v>
          </cell>
          <cell r="Q36">
            <v>0.13769891136603749</v>
          </cell>
          <cell r="R36">
            <v>1.0554722157446399</v>
          </cell>
          <cell r="S36">
            <v>1.2009259173704827</v>
          </cell>
          <cell r="T36">
            <v>1.3706452252341543</v>
          </cell>
          <cell r="U36">
            <v>1.4010948874714233</v>
          </cell>
          <cell r="V36">
            <v>0.93828620848089661</v>
          </cell>
          <cell r="W36">
            <v>0.14227333091283134</v>
          </cell>
          <cell r="X36">
            <v>0.13788896791681715</v>
          </cell>
          <cell r="Y36">
            <v>106.94058914595765</v>
          </cell>
          <cell r="Z36">
            <v>99.059409351732896</v>
          </cell>
          <cell r="AA36">
            <v>117.86879438091567</v>
          </cell>
          <cell r="AB36">
            <v>120.78064796541956</v>
          </cell>
          <cell r="AC36">
            <v>0.99770100373043302</v>
          </cell>
          <cell r="AD36">
            <v>0.15198046095407911</v>
          </cell>
          <cell r="AE36">
            <v>0.15220727119563995</v>
          </cell>
          <cell r="AF36">
            <v>8.897496330640184</v>
          </cell>
          <cell r="AG36">
            <v>7.9310074565820816</v>
          </cell>
          <cell r="AH36">
            <v>9.7977928004133119</v>
          </cell>
          <cell r="AI36">
            <v>9.9065548156715355</v>
          </cell>
          <cell r="AJ36">
            <v>0.99958570531382751</v>
          </cell>
          <cell r="AK36">
            <v>0.15169390441982453</v>
          </cell>
          <cell r="AL36">
            <v>0.15192178566773523</v>
          </cell>
          <cell r="AM36">
            <v>8.4298726180707302</v>
          </cell>
          <cell r="AN36">
            <v>6.6040771889973175</v>
          </cell>
          <cell r="AO36">
            <v>7.148306957943479</v>
          </cell>
          <cell r="AP36">
            <v>7.0705809465553333</v>
          </cell>
          <cell r="AQ36">
            <v>1.0639513252329815</v>
          </cell>
          <cell r="AR36">
            <v>0.14251691298762639</v>
          </cell>
          <cell r="AS36">
            <v>0.14338439160364697</v>
          </cell>
          <cell r="AT36"/>
          <cell r="AU36">
            <v>2.7539782273207497E-2</v>
          </cell>
          <cell r="AV36">
            <v>2.757779358336343E-2</v>
          </cell>
          <cell r="AW36">
            <v>3.0441454239127991E-2</v>
          </cell>
          <cell r="AX36">
            <v>3.0384357133547049E-2</v>
          </cell>
          <cell r="AY36">
            <v>2.8676878320729394E-2</v>
          </cell>
          <cell r="AZ36">
            <v>-4.6235863307894552E-2</v>
          </cell>
          <cell r="BA36">
            <v>3489424.5052152779</v>
          </cell>
          <cell r="BB36">
            <v>3494240.7232891042</v>
          </cell>
          <cell r="BC36">
            <v>3857080.471538207</v>
          </cell>
          <cell r="BD36">
            <v>3849845.9902552944</v>
          </cell>
          <cell r="BE36">
            <v>3633500.110956958</v>
          </cell>
          <cell r="BF36">
            <v>18324091.801254842</v>
          </cell>
          <cell r="BG36"/>
          <cell r="BH36">
            <v>76532753</v>
          </cell>
          <cell r="BI36">
            <v>0.23942810212582896</v>
          </cell>
          <cell r="BJ36">
            <v>18324091.801254842</v>
          </cell>
          <cell r="BK36">
            <v>0</v>
          </cell>
          <cell r="BM36">
            <v>18324091.801254842</v>
          </cell>
          <cell r="BN36">
            <v>0.1582268062823394</v>
          </cell>
          <cell r="BO36">
            <v>454914.94696886308</v>
          </cell>
          <cell r="BP36">
            <v>18779006.748223707</v>
          </cell>
          <cell r="BQ36">
            <v>0.24537215782925917</v>
          </cell>
          <cell r="BR36">
            <v>0</v>
          </cell>
          <cell r="BS36"/>
          <cell r="BT36">
            <v>76532753</v>
          </cell>
          <cell r="BU36">
            <v>0.24537215782925917</v>
          </cell>
          <cell r="BV36">
            <v>18779006.748223707</v>
          </cell>
          <cell r="BW36">
            <v>0</v>
          </cell>
          <cell r="BY36">
            <v>18779006.748223707</v>
          </cell>
          <cell r="BZ36">
            <v>0.1582268062823394</v>
          </cell>
          <cell r="CA36">
            <v>0</v>
          </cell>
          <cell r="CB36">
            <v>18779006.748223707</v>
          </cell>
          <cell r="CC36">
            <v>0.24537215782925917</v>
          </cell>
          <cell r="CD36">
            <v>0</v>
          </cell>
          <cell r="CE36"/>
          <cell r="CF36">
            <v>22959825.899999999</v>
          </cell>
          <cell r="CG36">
            <v>0</v>
          </cell>
          <cell r="CH36">
            <v>18779006.748223707</v>
          </cell>
          <cell r="CI36">
            <v>0.24537215782925917</v>
          </cell>
          <cell r="CL36">
            <v>370745.59999999998</v>
          </cell>
          <cell r="CM36">
            <v>19149752.348223709</v>
          </cell>
        </row>
        <row r="37">
          <cell r="B37" t="str">
            <v>Blacksburg Transit</v>
          </cell>
          <cell r="C37"/>
          <cell r="D37">
            <v>12808994</v>
          </cell>
          <cell r="E37">
            <v>3791431</v>
          </cell>
          <cell r="F37">
            <v>99331.900000000009</v>
          </cell>
          <cell r="G37">
            <v>1022384</v>
          </cell>
          <cell r="H37">
            <v>3.6355300610586123E-2</v>
          </cell>
          <cell r="I37">
            <v>3.635530061058613E-2</v>
          </cell>
          <cell r="J37"/>
          <cell r="K37">
            <v>7.7359808402431227</v>
          </cell>
          <cell r="L37">
            <v>32.633977790205321</v>
          </cell>
          <cell r="M37">
            <v>37.897163158744682</v>
          </cell>
          <cell r="N37">
            <v>38.169319221720308</v>
          </cell>
          <cell r="O37">
            <v>1.7360665328826819</v>
          </cell>
          <cell r="P37">
            <v>6.3115220682927908E-2</v>
          </cell>
          <cell r="Q37">
            <v>6.1090434900429813E-2</v>
          </cell>
          <cell r="R37">
            <v>0.74890286156611607</v>
          </cell>
          <cell r="S37">
            <v>3.1121743743196539</v>
          </cell>
          <cell r="T37">
            <v>3.6271477751754029</v>
          </cell>
          <cell r="U37">
            <v>3.7084216889153194</v>
          </cell>
          <cell r="V37">
            <v>1.7450415348457822</v>
          </cell>
          <cell r="W37">
            <v>6.3441509577277025E-2</v>
          </cell>
          <cell r="X37">
            <v>6.1486465682421478E-2</v>
          </cell>
          <cell r="Y37">
            <v>94.638769882541524</v>
          </cell>
          <cell r="Z37">
            <v>99.879114404410004</v>
          </cell>
          <cell r="AA37">
            <v>129.41512623136137</v>
          </cell>
          <cell r="AB37">
            <v>128.95146473590054</v>
          </cell>
          <cell r="AC37">
            <v>1.0634476998773559</v>
          </cell>
          <cell r="AD37">
            <v>3.4186260983759591E-2</v>
          </cell>
          <cell r="AE37">
            <v>3.4237279345351028E-2</v>
          </cell>
          <cell r="AF37">
            <v>9.1617659148578081</v>
          </cell>
          <cell r="AG37">
            <v>9.5250791177666656</v>
          </cell>
          <cell r="AH37">
            <v>12.386356868398249</v>
          </cell>
          <cell r="AI37">
            <v>12.528554828714064</v>
          </cell>
          <cell r="AJ37">
            <v>1.0693597112593702</v>
          </cell>
          <cell r="AK37">
            <v>3.399726044267274E-2</v>
          </cell>
          <cell r="AL37">
            <v>3.4048332620983744E-2</v>
          </cell>
          <cell r="AM37">
            <v>12.233583799771571</v>
          </cell>
          <cell r="AN37">
            <v>3.0605865777841972</v>
          </cell>
          <cell r="AO37">
            <v>3.4149027379506931</v>
          </cell>
          <cell r="AP37">
            <v>3.3784062007194646</v>
          </cell>
          <cell r="AQ37">
            <v>0.85035846976223872</v>
          </cell>
          <cell r="AR37">
            <v>4.275291174644396E-2</v>
          </cell>
          <cell r="AS37">
            <v>4.3013142170575266E-2</v>
          </cell>
          <cell r="AT37"/>
          <cell r="AU37">
            <v>1.2218086980085963E-2</v>
          </cell>
          <cell r="AV37">
            <v>1.2297293136484297E-2</v>
          </cell>
          <cell r="AW37">
            <v>6.8474558690702061E-3</v>
          </cell>
          <cell r="AX37">
            <v>6.8096665241967492E-3</v>
          </cell>
          <cell r="AY37">
            <v>8.602628434115054E-3</v>
          </cell>
          <cell r="AZ37">
            <v>0.28661103493480755</v>
          </cell>
          <cell r="BA37">
            <v>1548091.1102423975</v>
          </cell>
          <cell r="BB37">
            <v>1558126.9159128419</v>
          </cell>
          <cell r="BC37">
            <v>867605.99887382158</v>
          </cell>
          <cell r="BD37">
            <v>862817.9048820344</v>
          </cell>
          <cell r="BE37">
            <v>1089994.9088002231</v>
          </cell>
          <cell r="BF37">
            <v>5926636.8387113186</v>
          </cell>
          <cell r="BH37">
            <v>12808994</v>
          </cell>
          <cell r="BI37">
            <v>0.46269338862297216</v>
          </cell>
          <cell r="BJ37">
            <v>3842698.1999999997</v>
          </cell>
          <cell r="BK37">
            <v>2083938.6387113188</v>
          </cell>
          <cell r="BM37">
            <v>0</v>
          </cell>
          <cell r="BN37">
            <v>0</v>
          </cell>
          <cell r="BO37">
            <v>0</v>
          </cell>
          <cell r="BP37">
            <v>3842698.1999999997</v>
          </cell>
          <cell r="BQ37">
            <v>0.3</v>
          </cell>
          <cell r="BR37">
            <v>0</v>
          </cell>
          <cell r="BS37"/>
          <cell r="BT37">
            <v>12808994</v>
          </cell>
          <cell r="BU37">
            <v>0.3</v>
          </cell>
          <cell r="BV37">
            <v>3842698.1999999997</v>
          </cell>
          <cell r="BW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3842698.1999999997</v>
          </cell>
          <cell r="CC37">
            <v>0.3</v>
          </cell>
          <cell r="CD37">
            <v>0</v>
          </cell>
          <cell r="CE37"/>
          <cell r="CF37">
            <v>3842698.1999999997</v>
          </cell>
          <cell r="CG37">
            <v>0</v>
          </cell>
          <cell r="CH37">
            <v>3842698.1999999997</v>
          </cell>
          <cell r="CI37">
            <v>0.3</v>
          </cell>
          <cell r="CL37">
            <v>0</v>
          </cell>
          <cell r="CM37">
            <v>3842698.1999999997</v>
          </cell>
        </row>
        <row r="38">
          <cell r="B38" t="str">
            <v>City of Radford</v>
          </cell>
          <cell r="C38"/>
          <cell r="D38">
            <v>2846110</v>
          </cell>
          <cell r="E38">
            <v>90833</v>
          </cell>
          <cell r="F38">
            <v>36673.339999999997</v>
          </cell>
          <cell r="G38">
            <v>438033</v>
          </cell>
          <cell r="H38">
            <v>4.4625450380595365E-3</v>
          </cell>
          <cell r="I38">
            <v>4.4625450380595373E-3</v>
          </cell>
          <cell r="J38"/>
          <cell r="K38">
            <v>3.353975911522431</v>
          </cell>
          <cell r="L38">
            <v>4.039822296622992</v>
          </cell>
          <cell r="M38">
            <v>3.7461598379809939</v>
          </cell>
          <cell r="N38">
            <v>2.4768128564237677</v>
          </cell>
          <cell r="O38">
            <v>0.77907852184148563</v>
          </cell>
          <cell r="P38">
            <v>3.4766729919024804E-3</v>
          </cell>
          <cell r="Q38">
            <v>3.3651385954727555E-3</v>
          </cell>
          <cell r="R38">
            <v>0.29134203947124609</v>
          </cell>
          <cell r="S38">
            <v>0.3358526722031458</v>
          </cell>
          <cell r="T38">
            <v>0.30962589842834592</v>
          </cell>
          <cell r="U38">
            <v>0.20736565509904506</v>
          </cell>
          <cell r="V38">
            <v>0.77142009613882967</v>
          </cell>
          <cell r="W38">
            <v>3.4424969222837457E-3</v>
          </cell>
          <cell r="X38">
            <v>3.3364112910335645E-3</v>
          </cell>
          <cell r="Y38">
            <v>54.975878704341831</v>
          </cell>
          <cell r="Z38">
            <v>56.597366641985644</v>
          </cell>
          <cell r="AA38">
            <v>81.316934101885025</v>
          </cell>
          <cell r="AB38">
            <v>77.607057333747079</v>
          </cell>
          <cell r="AC38">
            <v>1.084327821452679</v>
          </cell>
          <cell r="AD38">
            <v>4.1154943641315452E-3</v>
          </cell>
          <cell r="AE38">
            <v>4.1216361817376446E-3</v>
          </cell>
          <cell r="AF38">
            <v>4.775462032515458</v>
          </cell>
          <cell r="AG38">
            <v>4.7052507339893959</v>
          </cell>
          <cell r="AH38">
            <v>6.7209702382331962</v>
          </cell>
          <cell r="AI38">
            <v>6.4974785004782749</v>
          </cell>
          <cell r="AJ38">
            <v>1.0755645694817073</v>
          </cell>
          <cell r="AK38">
            <v>4.1490256974622613E-3</v>
          </cell>
          <cell r="AL38">
            <v>4.1552585461529686E-3</v>
          </cell>
          <cell r="AM38">
            <v>16.391256274523233</v>
          </cell>
          <cell r="AN38">
            <v>14.009865406529656</v>
          </cell>
          <cell r="AO38">
            <v>21.706744404614373</v>
          </cell>
          <cell r="AP38">
            <v>31.333436086003985</v>
          </cell>
          <cell r="AQ38">
            <v>1.4195954903170527</v>
          </cell>
          <cell r="AR38">
            <v>3.1435328362890698E-3</v>
          </cell>
          <cell r="AS38">
            <v>3.1626670390799768E-3</v>
          </cell>
          <cell r="AT38"/>
          <cell r="AU38">
            <v>6.7302771909455114E-4</v>
          </cell>
          <cell r="AV38">
            <v>6.672822582067129E-4</v>
          </cell>
          <cell r="AW38">
            <v>8.2432723634752892E-4</v>
          </cell>
          <cell r="AX38">
            <v>8.3105170923059371E-4</v>
          </cell>
          <cell r="AY38">
            <v>6.3253340781599539E-4</v>
          </cell>
          <cell r="AZ38">
            <v>-0.18696118476082574</v>
          </cell>
          <cell r="BA38">
            <v>85275.888981243901</v>
          </cell>
          <cell r="BB38">
            <v>84547.911112105736</v>
          </cell>
          <cell r="BC38">
            <v>104446.27449454569</v>
          </cell>
          <cell r="BD38">
            <v>105298.29795028847</v>
          </cell>
          <cell r="BE38">
            <v>80145.062575449279</v>
          </cell>
          <cell r="BF38">
            <v>459713.43511363311</v>
          </cell>
          <cell r="BH38">
            <v>2846110</v>
          </cell>
          <cell r="BI38">
            <v>0.1615234249953913</v>
          </cell>
          <cell r="BJ38">
            <v>459713.43511363311</v>
          </cell>
          <cell r="BK38">
            <v>0</v>
          </cell>
          <cell r="BM38">
            <v>459713.43511363311</v>
          </cell>
          <cell r="BN38">
            <v>3.9695821998737436E-3</v>
          </cell>
          <cell r="BO38">
            <v>11412.871929689356</v>
          </cell>
          <cell r="BP38">
            <v>471126.30704332248</v>
          </cell>
          <cell r="BQ38">
            <v>0.16553341474620534</v>
          </cell>
          <cell r="BR38">
            <v>0</v>
          </cell>
          <cell r="BS38"/>
          <cell r="BT38">
            <v>2846110</v>
          </cell>
          <cell r="BU38">
            <v>0.16553341474620534</v>
          </cell>
          <cell r="BV38">
            <v>471126.30704332248</v>
          </cell>
          <cell r="BW38">
            <v>0</v>
          </cell>
          <cell r="BY38">
            <v>471126.30704332248</v>
          </cell>
          <cell r="BZ38">
            <v>3.9695821998737436E-3</v>
          </cell>
          <cell r="CA38">
            <v>0</v>
          </cell>
          <cell r="CB38">
            <v>471126.30704332248</v>
          </cell>
          <cell r="CC38">
            <v>0.16553341474620534</v>
          </cell>
          <cell r="CD38">
            <v>0</v>
          </cell>
          <cell r="CE38"/>
          <cell r="CF38">
            <v>853833</v>
          </cell>
          <cell r="CG38">
            <v>0</v>
          </cell>
          <cell r="CH38">
            <v>471126.30704332248</v>
          </cell>
          <cell r="CI38">
            <v>0.16553341474620534</v>
          </cell>
          <cell r="CL38">
            <v>0</v>
          </cell>
          <cell r="CM38">
            <v>471126.30704332248</v>
          </cell>
        </row>
        <row r="39">
          <cell r="B39" t="str">
            <v>Greater Roanoke Transit Company</v>
          </cell>
          <cell r="C39"/>
          <cell r="D39">
            <v>14257696</v>
          </cell>
          <cell r="E39">
            <v>1396636</v>
          </cell>
          <cell r="F39">
            <v>143067</v>
          </cell>
          <cell r="G39">
            <v>2359994</v>
          </cell>
          <cell r="H39">
            <v>2.7058300170219741E-2</v>
          </cell>
          <cell r="I39">
            <v>2.7058300170219745E-2</v>
          </cell>
          <cell r="J39"/>
          <cell r="K39">
            <v>7.5369057433360815</v>
          </cell>
          <cell r="L39">
            <v>7.2816302952503209</v>
          </cell>
          <cell r="M39">
            <v>9.0953319765962863</v>
          </cell>
          <cell r="N39">
            <v>9.762111458267805</v>
          </cell>
          <cell r="O39">
            <v>0.93562893210464482</v>
          </cell>
          <cell r="P39">
            <v>2.5316528492829629E-2</v>
          </cell>
          <cell r="Q39">
            <v>2.4504354402335563E-2</v>
          </cell>
          <cell r="R39">
            <v>0.4322966250764449</v>
          </cell>
          <cell r="S39">
            <v>0.43926607650153893</v>
          </cell>
          <cell r="T39">
            <v>0.56790094587284767</v>
          </cell>
          <cell r="U39">
            <v>0.59179641982140629</v>
          </cell>
          <cell r="V39">
            <v>0.95458036924452949</v>
          </cell>
          <cell r="W39">
            <v>2.5829322167617678E-2</v>
          </cell>
          <cell r="X39">
            <v>2.5033353424935921E-2</v>
          </cell>
          <cell r="Y39">
            <v>71.568899422918378</v>
          </cell>
          <cell r="Z39">
            <v>68.191964056482675</v>
          </cell>
          <cell r="AA39">
            <v>90.06116622855366</v>
          </cell>
          <cell r="AB39">
            <v>100.1120523950317</v>
          </cell>
          <cell r="AC39">
            <v>1.0742332216255097</v>
          </cell>
          <cell r="AD39">
            <v>2.5188478279675273E-2</v>
          </cell>
          <cell r="AE39">
            <v>2.5226068669961622E-2</v>
          </cell>
          <cell r="AF39">
            <v>4.104999416812201</v>
          </cell>
          <cell r="AG39">
            <v>4.1136964231161048</v>
          </cell>
          <cell r="AH39">
            <v>5.6233045279945362</v>
          </cell>
          <cell r="AI39">
            <v>6.0689692431421438</v>
          </cell>
          <cell r="AJ39">
            <v>1.0986857066039803</v>
          </cell>
          <cell r="AK39">
            <v>2.4627880391614915E-2</v>
          </cell>
          <cell r="AL39">
            <v>2.4664877475568302E-2</v>
          </cell>
          <cell r="AM39">
            <v>9.4957933481120662</v>
          </cell>
          <cell r="AN39">
            <v>9.3649308316247648</v>
          </cell>
          <cell r="AO39">
            <v>9.9019108329740089</v>
          </cell>
          <cell r="AP39">
            <v>10.255163836532926</v>
          </cell>
          <cell r="AQ39">
            <v>1.1567680100553506</v>
          </cell>
          <cell r="AR39">
            <v>2.3391293617226694E-2</v>
          </cell>
          <cell r="AS39">
            <v>2.353367283797058E-2</v>
          </cell>
          <cell r="AT39"/>
          <cell r="AU39">
            <v>4.9008708804671132E-3</v>
          </cell>
          <cell r="AV39">
            <v>5.0066706849871846E-3</v>
          </cell>
          <cell r="AW39">
            <v>5.045213733992325E-3</v>
          </cell>
          <cell r="AX39">
            <v>4.932975495113661E-3</v>
          </cell>
          <cell r="AY39">
            <v>4.7067345675941164E-3</v>
          </cell>
          <cell r="AZ39">
            <v>-9.1130440292004566E-2</v>
          </cell>
          <cell r="BA39">
            <v>620964.20289550023</v>
          </cell>
          <cell r="BB39">
            <v>634369.55326744146</v>
          </cell>
          <cell r="BC39">
            <v>639253.14524249837</v>
          </cell>
          <cell r="BD39">
            <v>625032.01388858655</v>
          </cell>
          <cell r="BE39">
            <v>596366.18680478411</v>
          </cell>
          <cell r="BF39">
            <v>3115985.102098811</v>
          </cell>
          <cell r="BH39">
            <v>14322731</v>
          </cell>
          <cell r="BI39">
            <v>0.21755523454980835</v>
          </cell>
          <cell r="BJ39">
            <v>3115985.102098811</v>
          </cell>
          <cell r="BK39">
            <v>0</v>
          </cell>
          <cell r="BM39">
            <v>3115985.102098811</v>
          </cell>
          <cell r="BN39">
            <v>2.6906237781164195E-2</v>
          </cell>
          <cell r="BO39">
            <v>77357.623660233803</v>
          </cell>
          <cell r="BP39">
            <v>3193342.7257590448</v>
          </cell>
          <cell r="BQ39">
            <v>0.22295627319671402</v>
          </cell>
          <cell r="BR39">
            <v>0</v>
          </cell>
          <cell r="BS39"/>
          <cell r="BT39">
            <v>14322731</v>
          </cell>
          <cell r="BU39">
            <v>0.22295627319671402</v>
          </cell>
          <cell r="BV39">
            <v>3193342.7257590448</v>
          </cell>
          <cell r="BW39">
            <v>0</v>
          </cell>
          <cell r="BY39">
            <v>3193342.7257590448</v>
          </cell>
          <cell r="BZ39">
            <v>2.6906237781164192E-2</v>
          </cell>
          <cell r="CA39">
            <v>0</v>
          </cell>
          <cell r="CB39">
            <v>3193342.7257590448</v>
          </cell>
          <cell r="CC39">
            <v>0.22295627319671402</v>
          </cell>
          <cell r="CD39">
            <v>0</v>
          </cell>
          <cell r="CE39"/>
          <cell r="CF39">
            <v>4296819.3</v>
          </cell>
          <cell r="CG39">
            <v>0</v>
          </cell>
          <cell r="CH39">
            <v>3193342.7257590448</v>
          </cell>
          <cell r="CI39">
            <v>0.22295627319671402</v>
          </cell>
          <cell r="CL39">
            <v>0</v>
          </cell>
          <cell r="CM39">
            <v>3193342.7257590448</v>
          </cell>
        </row>
        <row r="40">
          <cell r="B40" t="str">
            <v>Pulaski Area Transit</v>
          </cell>
          <cell r="C40"/>
          <cell r="D40">
            <v>744369</v>
          </cell>
          <cell r="E40">
            <v>28456</v>
          </cell>
          <cell r="F40">
            <v>18710.25</v>
          </cell>
          <cell r="G40">
            <v>231250</v>
          </cell>
          <cell r="H40">
            <v>1.5652098840268792E-3</v>
          </cell>
          <cell r="I40">
            <v>1.5652098840268794E-3</v>
          </cell>
          <cell r="J40"/>
          <cell r="K40">
            <v>2.0660778541053322</v>
          </cell>
          <cell r="L40">
            <v>1.5442640125720273</v>
          </cell>
          <cell r="M40">
            <v>1.4436910689691704</v>
          </cell>
          <cell r="N40">
            <v>1.5208775938322576</v>
          </cell>
          <cell r="O40">
            <v>0.78444065442179911</v>
          </cell>
          <cell r="P40">
            <v>1.2278142657335136E-3</v>
          </cell>
          <cell r="Q40">
            <v>1.1884250210805513E-3</v>
          </cell>
          <cell r="R40">
            <v>0.17929853281414856</v>
          </cell>
          <cell r="S40">
            <v>0.13392938268912755</v>
          </cell>
          <cell r="T40">
            <v>0.11958963737845332</v>
          </cell>
          <cell r="U40">
            <v>0.12305297297297298</v>
          </cell>
          <cell r="V40">
            <v>0.76729798078618916</v>
          </cell>
          <cell r="W40">
            <v>1.2009823835204098E-3</v>
          </cell>
          <cell r="X40">
            <v>1.163972336118076E-3</v>
          </cell>
          <cell r="Y40">
            <v>43.551303020390364</v>
          </cell>
          <cell r="Z40">
            <v>41.282399161864852</v>
          </cell>
          <cell r="AA40">
            <v>39.012660239432144</v>
          </cell>
          <cell r="AB40">
            <v>39.784022126909051</v>
          </cell>
          <cell r="AC40">
            <v>0.92869241192469454</v>
          </cell>
          <cell r="AD40">
            <v>1.6853910551320394E-3</v>
          </cell>
          <cell r="AE40">
            <v>1.6879062728773946E-3</v>
          </cell>
          <cell r="AF40">
            <v>3.7794726458078038</v>
          </cell>
          <cell r="AG40">
            <v>3.5802985698449907</v>
          </cell>
          <cell r="AH40">
            <v>3.2316539123108785</v>
          </cell>
          <cell r="AI40">
            <v>3.2188929729729732</v>
          </cell>
          <cell r="AJ40">
            <v>0.91256401539541976</v>
          </cell>
          <cell r="AK40">
            <v>1.7151781766769141E-3</v>
          </cell>
          <cell r="AL40">
            <v>1.7177547926904926E-3</v>
          </cell>
          <cell r="AM40">
            <v>21.079216803884314</v>
          </cell>
          <cell r="AN40">
            <v>26.732734056987788</v>
          </cell>
          <cell r="AO40">
            <v>27.022859029867174</v>
          </cell>
          <cell r="AP40">
            <v>26.158595726736014</v>
          </cell>
          <cell r="AQ40">
            <v>1.2360109324116764</v>
          </cell>
          <cell r="AR40">
            <v>1.2663398380893586E-3</v>
          </cell>
          <cell r="AS40">
            <v>1.2740478546828197E-3</v>
          </cell>
          <cell r="AT40"/>
          <cell r="AU40">
            <v>2.3768500421611027E-4</v>
          </cell>
          <cell r="AV40">
            <v>2.3279446722361519E-4</v>
          </cell>
          <cell r="AW40">
            <v>3.3758125457547896E-4</v>
          </cell>
          <cell r="AX40">
            <v>3.4355095853809853E-4</v>
          </cell>
          <cell r="AY40">
            <v>2.5480957093656397E-4</v>
          </cell>
          <cell r="AZ40">
            <v>-0.10144877703461108</v>
          </cell>
          <cell r="BA40">
            <v>30115.8473224667</v>
          </cell>
          <cell r="BB40">
            <v>29496.192473492956</v>
          </cell>
          <cell r="BC40">
            <v>42773.188637841711</v>
          </cell>
          <cell r="BD40">
            <v>43529.579196394203</v>
          </cell>
          <cell r="BE40">
            <v>32285.613305463547</v>
          </cell>
          <cell r="BF40">
            <v>178200.42093565912</v>
          </cell>
          <cell r="BH40">
            <v>744369</v>
          </cell>
          <cell r="BI40">
            <v>0.23939796113978298</v>
          </cell>
          <cell r="BJ40">
            <v>178200.42093565912</v>
          </cell>
          <cell r="BK40">
            <v>0</v>
          </cell>
          <cell r="BM40">
            <v>178200.42093565912</v>
          </cell>
          <cell r="BN40">
            <v>1.5387438454596146E-3</v>
          </cell>
          <cell r="BO40">
            <v>4424.0138021041239</v>
          </cell>
          <cell r="BP40">
            <v>182624.43473776325</v>
          </cell>
          <cell r="BQ40">
            <v>0.24534126856137647</v>
          </cell>
          <cell r="BR40">
            <v>0</v>
          </cell>
          <cell r="BS40"/>
          <cell r="BT40">
            <v>744369</v>
          </cell>
          <cell r="BU40">
            <v>0.24534126856137647</v>
          </cell>
          <cell r="BV40">
            <v>182624.43473776325</v>
          </cell>
          <cell r="BW40">
            <v>0</v>
          </cell>
          <cell r="BY40">
            <v>182624.43473776325</v>
          </cell>
          <cell r="BZ40">
            <v>1.5387438454596146E-3</v>
          </cell>
          <cell r="CA40">
            <v>0</v>
          </cell>
          <cell r="CB40">
            <v>182624.43473776325</v>
          </cell>
          <cell r="CC40">
            <v>0.24534126856137647</v>
          </cell>
          <cell r="CD40">
            <v>0</v>
          </cell>
          <cell r="CE40"/>
          <cell r="CF40">
            <v>223310.69999999998</v>
          </cell>
          <cell r="CG40">
            <v>0</v>
          </cell>
          <cell r="CH40">
            <v>182624.43473776325</v>
          </cell>
          <cell r="CI40">
            <v>0.24534126856137647</v>
          </cell>
          <cell r="CL40">
            <v>0</v>
          </cell>
          <cell r="CM40">
            <v>182624.43473776325</v>
          </cell>
        </row>
        <row r="41">
          <cell r="B41" t="str">
            <v>Central Shenandoah PDC</v>
          </cell>
          <cell r="C41"/>
          <cell r="D41">
            <v>2428469</v>
          </cell>
          <cell r="E41">
            <v>212642</v>
          </cell>
          <cell r="F41">
            <v>36534.629999999997</v>
          </cell>
          <cell r="G41">
            <v>705618.94</v>
          </cell>
          <cell r="H41">
            <v>5.1859661952151455E-3</v>
          </cell>
          <cell r="I41">
            <v>5.1859661952151463E-3</v>
          </cell>
          <cell r="J41"/>
          <cell r="K41">
            <v>4.4820247253569612</v>
          </cell>
          <cell r="L41">
            <v>4.4056907707718551</v>
          </cell>
          <cell r="M41">
            <v>5.2133876816389186</v>
          </cell>
          <cell r="N41">
            <v>5.8202861230563991</v>
          </cell>
          <cell r="O41">
            <v>0.93497400249378815</v>
          </cell>
          <cell r="P41">
            <v>4.8487435703377874E-3</v>
          </cell>
          <cell r="Q41">
            <v>4.6931920735994647E-3</v>
          </cell>
          <cell r="R41">
            <v>0.24753017027607868</v>
          </cell>
          <cell r="S41">
            <v>0.22914428374898088</v>
          </cell>
          <cell r="T41">
            <v>0.26595741807949275</v>
          </cell>
          <cell r="U41">
            <v>0.30135528958448876</v>
          </cell>
          <cell r="V41">
            <v>0.92190780884659318</v>
          </cell>
          <cell r="W41">
            <v>4.7809827317832993E-3</v>
          </cell>
          <cell r="X41">
            <v>4.6336496818060241E-3</v>
          </cell>
          <cell r="Y41">
            <v>68.510851019247468</v>
          </cell>
          <cell r="Z41">
            <v>68.297046322116032</v>
          </cell>
          <cell r="AA41">
            <v>80.659776077922771</v>
          </cell>
          <cell r="AB41">
            <v>92.151528563447897</v>
          </cell>
          <cell r="AC41">
            <v>1.0561797921469089</v>
          </cell>
          <cell r="AD41">
            <v>4.9101168511031367E-3</v>
          </cell>
          <cell r="AE41">
            <v>4.9174445350836917E-3</v>
          </cell>
          <cell r="AF41">
            <v>3.7836700281038187</v>
          </cell>
          <cell r="AG41">
            <v>3.5521961426517614</v>
          </cell>
          <cell r="AH41">
            <v>4.1148034826005002</v>
          </cell>
          <cell r="AI41">
            <v>4.7713033326458048</v>
          </cell>
          <cell r="AJ41">
            <v>1.0398241904816219</v>
          </cell>
          <cell r="AK41">
            <v>4.9873490563949376E-3</v>
          </cell>
          <cell r="AL41">
            <v>4.9948412712672785E-3</v>
          </cell>
          <cell r="AM41">
            <v>15.285692341599267</v>
          </cell>
          <cell r="AN41">
            <v>15.502006353966314</v>
          </cell>
          <cell r="AO41">
            <v>15.471662765844025</v>
          </cell>
          <cell r="AP41">
            <v>15.832817599533488</v>
          </cell>
          <cell r="AQ41">
            <v>1.1428923483074012</v>
          </cell>
          <cell r="AR41">
            <v>4.537580641689876E-3</v>
          </cell>
          <cell r="AS41">
            <v>4.5652001999066374E-3</v>
          </cell>
          <cell r="AT41"/>
          <cell r="AU41">
            <v>9.3863841471989297E-4</v>
          </cell>
          <cell r="AV41">
            <v>9.2672993636120488E-4</v>
          </cell>
          <cell r="AW41">
            <v>9.8348890701673844E-4</v>
          </cell>
          <cell r="AX41">
            <v>9.9896825425345578E-4</v>
          </cell>
          <cell r="AY41">
            <v>9.1304003998132755E-4</v>
          </cell>
          <cell r="AZ41">
            <v>-8.1971348612867534E-2</v>
          </cell>
          <cell r="BA41">
            <v>118930.05737545171</v>
          </cell>
          <cell r="BB41">
            <v>117421.1951850248</v>
          </cell>
          <cell r="BC41">
            <v>124612.83312650902</v>
          </cell>
          <cell r="BD41">
            <v>126574.14179034281</v>
          </cell>
          <cell r="BE41">
            <v>115686.61865758887</v>
          </cell>
          <cell r="BF41">
            <v>603224.84613491723</v>
          </cell>
          <cell r="BH41">
            <v>3366722</v>
          </cell>
          <cell r="BI41">
            <v>0.17917275205226843</v>
          </cell>
          <cell r="BJ41">
            <v>603224.84613491723</v>
          </cell>
          <cell r="BK41">
            <v>0</v>
          </cell>
          <cell r="BM41">
            <v>603224.84613491723</v>
          </cell>
          <cell r="BN41">
            <v>5.2087897129803355E-3</v>
          </cell>
          <cell r="BO41">
            <v>14975.694395450162</v>
          </cell>
          <cell r="BP41">
            <v>618200.54053036741</v>
          </cell>
          <cell r="BQ41">
            <v>0.18362090500206651</v>
          </cell>
          <cell r="BR41">
            <v>0</v>
          </cell>
          <cell r="BS41"/>
          <cell r="BT41">
            <v>3366722</v>
          </cell>
          <cell r="BU41">
            <v>0.18362090500206651</v>
          </cell>
          <cell r="BV41">
            <v>618200.54053036741</v>
          </cell>
          <cell r="BW41">
            <v>0</v>
          </cell>
          <cell r="BY41">
            <v>618200.54053036741</v>
          </cell>
          <cell r="BZ41">
            <v>5.2087897129803355E-3</v>
          </cell>
          <cell r="CA41">
            <v>0</v>
          </cell>
          <cell r="CB41">
            <v>618200.54053036741</v>
          </cell>
          <cell r="CC41">
            <v>0.18362090500206651</v>
          </cell>
          <cell r="CD41">
            <v>0</v>
          </cell>
          <cell r="CE41"/>
          <cell r="CF41">
            <v>1010016.6</v>
          </cell>
          <cell r="CG41">
            <v>0</v>
          </cell>
          <cell r="CH41">
            <v>618200.54053036741</v>
          </cell>
          <cell r="CI41">
            <v>0.18362090500206651</v>
          </cell>
          <cell r="CL41">
            <v>0</v>
          </cell>
          <cell r="CM41">
            <v>618200.54053036741</v>
          </cell>
        </row>
        <row r="42">
          <cell r="B42" t="str">
            <v>City of Harrisonburg Dept. of Public Transportation</v>
          </cell>
          <cell r="C42"/>
          <cell r="D42">
            <v>7144704</v>
          </cell>
          <cell r="E42">
            <v>1877126</v>
          </cell>
          <cell r="F42">
            <v>76614</v>
          </cell>
          <cell r="G42">
            <v>768657</v>
          </cell>
          <cell r="H42">
            <v>1.968904179645465E-2</v>
          </cell>
          <cell r="I42">
            <v>1.9689041796454653E-2</v>
          </cell>
          <cell r="J42"/>
          <cell r="K42">
            <v>6.5232631919715116</v>
          </cell>
          <cell r="L42">
            <v>18.24961092626382</v>
          </cell>
          <cell r="M42">
            <v>21.145138445302301</v>
          </cell>
          <cell r="N42">
            <v>24.501083352912001</v>
          </cell>
          <cell r="O42">
            <v>1.4130477342171865</v>
          </cell>
          <cell r="P42">
            <v>2.7821555899387732E-2</v>
          </cell>
          <cell r="Q42">
            <v>2.6929018564929932E-2</v>
          </cell>
          <cell r="R42">
            <v>0.66929775146545356</v>
          </cell>
          <cell r="S42">
            <v>1.8049204125068334</v>
          </cell>
          <cell r="T42">
            <v>2.1042721223804488</v>
          </cell>
          <cell r="U42">
            <v>2.4420853514636569</v>
          </cell>
          <cell r="V42">
            <v>1.4013283640407588</v>
          </cell>
          <cell r="W42">
            <v>2.7590812730155921E-2</v>
          </cell>
          <cell r="X42">
            <v>2.6740561052009941E-2</v>
          </cell>
          <cell r="Y42">
            <v>76.682473292327614</v>
          </cell>
          <cell r="Z42">
            <v>79.970349898035849</v>
          </cell>
          <cell r="AA42">
            <v>91.352487016413477</v>
          </cell>
          <cell r="AB42">
            <v>97.052784086459397</v>
          </cell>
          <cell r="AC42">
            <v>1.0338380562910368</v>
          </cell>
          <cell r="AD42">
            <v>1.9044609237050539E-2</v>
          </cell>
          <cell r="AE42">
            <v>1.9073030735408756E-2</v>
          </cell>
          <cell r="AF42">
            <v>7.8677504557122129</v>
          </cell>
          <cell r="AG42">
            <v>7.9092161202490328</v>
          </cell>
          <cell r="AH42">
            <v>9.0910018033704372</v>
          </cell>
          <cell r="AI42">
            <v>9.6734980622045992</v>
          </cell>
          <cell r="AJ42">
            <v>1.0288308715377539</v>
          </cell>
          <cell r="AK42">
            <v>1.9137296849409464E-2</v>
          </cell>
          <cell r="AL42">
            <v>1.9166045737536254E-2</v>
          </cell>
          <cell r="AM42">
            <v>11.755232164586637</v>
          </cell>
          <cell r="AN42">
            <v>4.3820304016973317</v>
          </cell>
          <cell r="AO42">
            <v>4.3202595836731801</v>
          </cell>
          <cell r="AP42">
            <v>3.9611629693478223</v>
          </cell>
          <cell r="AQ42">
            <v>0.83032174110192136</v>
          </cell>
          <cell r="AR42">
            <v>2.3712545175952268E-2</v>
          </cell>
          <cell r="AS42">
            <v>2.3856879805718958E-2</v>
          </cell>
          <cell r="AT42"/>
          <cell r="AU42">
            <v>5.3858037129859869E-3</v>
          </cell>
          <cell r="AV42">
            <v>5.3481122104019887E-3</v>
          </cell>
          <cell r="AW42">
            <v>3.8146061470817512E-3</v>
          </cell>
          <cell r="AX42">
            <v>3.833209147507251E-3</v>
          </cell>
          <cell r="AY42">
            <v>4.7713759611437917E-3</v>
          </cell>
          <cell r="AZ42">
            <v>0.17593874899945006</v>
          </cell>
          <cell r="BA42">
            <v>682407.55391360307</v>
          </cell>
          <cell r="BB42">
            <v>677631.85701628437</v>
          </cell>
          <cell r="BC42">
            <v>483329.17215258803</v>
          </cell>
          <cell r="BD42">
            <v>485686.26288450789</v>
          </cell>
          <cell r="BE42">
            <v>604556.56610647321</v>
          </cell>
          <cell r="BF42">
            <v>2933611.4120734567</v>
          </cell>
          <cell r="BH42">
            <v>7435602</v>
          </cell>
          <cell r="BI42">
            <v>0.39453583073347076</v>
          </cell>
          <cell r="BJ42">
            <v>2230680.6</v>
          </cell>
          <cell r="BK42">
            <v>702930.81207345659</v>
          </cell>
          <cell r="BM42">
            <v>0</v>
          </cell>
          <cell r="BN42">
            <v>0</v>
          </cell>
          <cell r="BO42">
            <v>0</v>
          </cell>
          <cell r="BP42">
            <v>2230680.6</v>
          </cell>
          <cell r="BQ42">
            <v>0.3</v>
          </cell>
          <cell r="BR42">
            <v>0</v>
          </cell>
          <cell r="BS42"/>
          <cell r="BT42">
            <v>7435602</v>
          </cell>
          <cell r="BU42">
            <v>0.3</v>
          </cell>
          <cell r="BV42">
            <v>2230680.6</v>
          </cell>
          <cell r="BW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2230680.6</v>
          </cell>
          <cell r="CC42">
            <v>0.3</v>
          </cell>
          <cell r="CD42">
            <v>0</v>
          </cell>
          <cell r="CE42"/>
          <cell r="CF42">
            <v>2230680.6</v>
          </cell>
          <cell r="CG42">
            <v>0</v>
          </cell>
          <cell r="CH42">
            <v>2230680.6</v>
          </cell>
          <cell r="CI42">
            <v>0.3</v>
          </cell>
          <cell r="CL42">
            <v>0</v>
          </cell>
          <cell r="CM42">
            <v>2230680.6</v>
          </cell>
        </row>
        <row r="43">
          <cell r="B43" t="str">
            <v>City of Winchester</v>
          </cell>
          <cell r="C43"/>
          <cell r="D43">
            <v>2376491</v>
          </cell>
          <cell r="E43">
            <v>181306</v>
          </cell>
          <cell r="F43">
            <v>25268</v>
          </cell>
          <cell r="G43">
            <v>331246</v>
          </cell>
          <cell r="H43">
            <v>4.1554540439166163E-3</v>
          </cell>
          <cell r="I43">
            <v>4.1554540439166171E-3</v>
          </cell>
          <cell r="J43"/>
          <cell r="K43">
            <v>5.1692512721104915</v>
          </cell>
          <cell r="L43">
            <v>7.7540727902946278</v>
          </cell>
          <cell r="M43">
            <v>8.9334289529650324</v>
          </cell>
          <cell r="N43">
            <v>7.1753205635586514</v>
          </cell>
          <cell r="O43">
            <v>0.9631888761247418</v>
          </cell>
          <cell r="P43">
            <v>4.0024871103480596E-3</v>
          </cell>
          <cell r="Q43">
            <v>3.87408418458824E-3</v>
          </cell>
          <cell r="R43">
            <v>0.48672727894958989</v>
          </cell>
          <cell r="S43">
            <v>0.72460145651246777</v>
          </cell>
          <cell r="T43">
            <v>0.79643813026090104</v>
          </cell>
          <cell r="U43">
            <v>0.54734547737934947</v>
          </cell>
          <cell r="V43">
            <v>0.91548196708866847</v>
          </cell>
          <cell r="W43">
            <v>3.8042432422713468E-3</v>
          </cell>
          <cell r="X43">
            <v>3.6870098634487858E-3</v>
          </cell>
          <cell r="Y43">
            <v>76.918100314998782</v>
          </cell>
          <cell r="Z43">
            <v>82.248006932409012</v>
          </cell>
          <cell r="AA43">
            <v>95.121865571986746</v>
          </cell>
          <cell r="AB43">
            <v>94.216123159727715</v>
          </cell>
          <cell r="AC43">
            <v>1.0237533675916397</v>
          </cell>
          <cell r="AD43">
            <v>4.0590382170778531E-3</v>
          </cell>
          <cell r="AE43">
            <v>4.0650957815354201E-3</v>
          </cell>
          <cell r="AF43">
            <v>7.2424681443287211</v>
          </cell>
          <cell r="AG43">
            <v>7.6858996852680619</v>
          </cell>
          <cell r="AH43">
            <v>8.480358568020776</v>
          </cell>
          <cell r="AI43">
            <v>7.1869637671096402</v>
          </cell>
          <cell r="AJ43">
            <v>0.96417599187899372</v>
          </cell>
          <cell r="AK43">
            <v>4.3098501507161944E-3</v>
          </cell>
          <cell r="AL43">
            <v>4.3163245969664223E-3</v>
          </cell>
          <cell r="AM43">
            <v>14.879930625541988</v>
          </cell>
          <cell r="AN43">
            <v>10.607071813325586</v>
          </cell>
          <cell r="AO43">
            <v>10.647856055363322</v>
          </cell>
          <cell r="AP43">
            <v>13.13058034483139</v>
          </cell>
          <cell r="AQ43">
            <v>1.0897265159750711</v>
          </cell>
          <cell r="AR43">
            <v>3.8132999270907696E-3</v>
          </cell>
          <cell r="AS43">
            <v>3.8365108995562711E-3</v>
          </cell>
          <cell r="AT43"/>
          <cell r="AU43">
            <v>7.7481683691764803E-4</v>
          </cell>
          <cell r="AV43">
            <v>7.3740197268975724E-4</v>
          </cell>
          <cell r="AW43">
            <v>8.1301915630708403E-4</v>
          </cell>
          <cell r="AX43">
            <v>8.6326491939328447E-4</v>
          </cell>
          <cell r="AY43">
            <v>7.6730217991125428E-4</v>
          </cell>
          <cell r="AZ43">
            <v>-4.8045045520324237E-2</v>
          </cell>
          <cell r="BA43">
            <v>98173.065820644959</v>
          </cell>
          <cell r="BB43">
            <v>93432.420349997265</v>
          </cell>
          <cell r="BC43">
            <v>103013.4856943796</v>
          </cell>
          <cell r="BD43">
            <v>109379.86852402167</v>
          </cell>
          <cell r="BE43">
            <v>97220.922189069912</v>
          </cell>
          <cell r="BF43">
            <v>501219.76257811347</v>
          </cell>
          <cell r="BH43">
            <v>2380653</v>
          </cell>
          <cell r="BI43">
            <v>0.21053877342817851</v>
          </cell>
          <cell r="BJ43">
            <v>501219.76257811347</v>
          </cell>
          <cell r="BK43">
            <v>0</v>
          </cell>
          <cell r="BM43">
            <v>501219.76257811347</v>
          </cell>
          <cell r="BN43">
            <v>4.3279854269719581E-3</v>
          </cell>
          <cell r="BO43">
            <v>12443.310379909481</v>
          </cell>
          <cell r="BP43">
            <v>513663.07295802294</v>
          </cell>
          <cell r="BQ43">
            <v>0.21576562101155564</v>
          </cell>
          <cell r="BR43">
            <v>0</v>
          </cell>
          <cell r="BS43"/>
          <cell r="BT43">
            <v>2380653</v>
          </cell>
          <cell r="BU43">
            <v>0.21576562101155564</v>
          </cell>
          <cell r="BV43">
            <v>513663.07295802294</v>
          </cell>
          <cell r="BW43">
            <v>0</v>
          </cell>
          <cell r="BY43">
            <v>513663.07295802294</v>
          </cell>
          <cell r="BZ43">
            <v>4.3279854269719581E-3</v>
          </cell>
          <cell r="CA43">
            <v>0</v>
          </cell>
          <cell r="CB43">
            <v>513663.07295802294</v>
          </cell>
          <cell r="CC43">
            <v>0.21576562101155564</v>
          </cell>
          <cell r="CD43">
            <v>0</v>
          </cell>
          <cell r="CE43"/>
          <cell r="CF43">
            <v>714195.9</v>
          </cell>
          <cell r="CG43">
            <v>0</v>
          </cell>
          <cell r="CH43">
            <v>513663.07295802294</v>
          </cell>
          <cell r="CI43">
            <v>0.21576562101155564</v>
          </cell>
          <cell r="CL43">
            <v>0</v>
          </cell>
          <cell r="CM43">
            <v>513663.07295802294</v>
          </cell>
        </row>
        <row r="44">
          <cell r="B44" t="str">
            <v>Bay Aging</v>
          </cell>
          <cell r="C44"/>
          <cell r="D44">
            <v>5173162</v>
          </cell>
          <cell r="E44">
            <v>131277</v>
          </cell>
          <cell r="F44">
            <v>61710.71</v>
          </cell>
          <cell r="G44">
            <v>1392527</v>
          </cell>
          <cell r="H44">
            <v>8.7178182695702485E-3</v>
          </cell>
          <cell r="I44">
            <v>8.7178182695702502E-3</v>
          </cell>
          <cell r="J44"/>
          <cell r="K44">
            <v>1.944317205840252</v>
          </cell>
          <cell r="L44">
            <v>2.0984220777077214</v>
          </cell>
          <cell r="M44">
            <v>2.1059981833517161</v>
          </cell>
          <cell r="N44">
            <v>2.1272968662976006</v>
          </cell>
          <cell r="O44">
            <v>0.87651228790853652</v>
          </cell>
          <cell r="P44">
            <v>7.6412748370318587E-3</v>
          </cell>
          <cell r="Q44">
            <v>7.3961367469995197E-3</v>
          </cell>
          <cell r="R44">
            <v>8.4847547858705061E-2</v>
          </cell>
          <cell r="S44">
            <v>9.06701755136681E-2</v>
          </cell>
          <cell r="T44">
            <v>9.3205239748349655E-2</v>
          </cell>
          <cell r="U44">
            <v>9.4272498845623817E-2</v>
          </cell>
          <cell r="V44">
            <v>0.8848941187265198</v>
          </cell>
          <cell r="W44">
            <v>7.7143461148693202E-3</v>
          </cell>
          <cell r="X44">
            <v>7.4766171362373275E-3</v>
          </cell>
          <cell r="Y44">
            <v>69.859111079301456</v>
          </cell>
          <cell r="Z44">
            <v>76.546396857359781</v>
          </cell>
          <cell r="AA44">
            <v>81.113410757153048</v>
          </cell>
          <cell r="AB44">
            <v>94.049687647411616</v>
          </cell>
          <cell r="AC44">
            <v>1.0573411582619359</v>
          </cell>
          <cell r="AD44">
            <v>8.2450382276810785E-3</v>
          </cell>
          <cell r="AE44">
            <v>8.2573428298671689E-3</v>
          </cell>
          <cell r="AF44">
            <v>3.0485633994613872</v>
          </cell>
          <cell r="AG44">
            <v>3.3074734162048824</v>
          </cell>
          <cell r="AH44">
            <v>3.5898392297730726</v>
          </cell>
          <cell r="AI44">
            <v>4.1678710717996852</v>
          </cell>
          <cell r="AJ44">
            <v>1.0673150531526312</v>
          </cell>
          <cell r="AK44">
            <v>8.1679896145187801E-3</v>
          </cell>
          <cell r="AL44">
            <v>8.1802599273793873E-3</v>
          </cell>
          <cell r="AM44">
            <v>35.929893985128473</v>
          </cell>
          <cell r="AN44">
            <v>36.47807448774924</v>
          </cell>
          <cell r="AO44">
            <v>38.515422946880371</v>
          </cell>
          <cell r="AP44">
            <v>44.210889950257851</v>
          </cell>
          <cell r="AQ44">
            <v>1.2071736239215365</v>
          </cell>
          <cell r="AR44">
            <v>7.2216772275475825E-3</v>
          </cell>
          <cell r="AS44">
            <v>7.2656344704836832E-3</v>
          </cell>
          <cell r="AT44"/>
          <cell r="AU44">
            <v>1.479227349399904E-3</v>
          </cell>
          <cell r="AV44">
            <v>1.4953234272474655E-3</v>
          </cell>
          <cell r="AW44">
            <v>1.6514685659734338E-3</v>
          </cell>
          <cell r="AX44">
            <v>1.6360519854758775E-3</v>
          </cell>
          <cell r="AY44">
            <v>1.4531268940967366E-3</v>
          </cell>
          <cell r="AZ44">
            <v>-0.11500813808845975</v>
          </cell>
          <cell r="BA44">
            <v>187425.30752693207</v>
          </cell>
          <cell r="BB44">
            <v>189464.75896202115</v>
          </cell>
          <cell r="BC44">
            <v>209249.10830928179</v>
          </cell>
          <cell r="BD44">
            <v>207295.75249691095</v>
          </cell>
          <cell r="BE44">
            <v>184118.25275690388</v>
          </cell>
          <cell r="BF44">
            <v>977553.18005204981</v>
          </cell>
          <cell r="BH44">
            <v>5803873</v>
          </cell>
          <cell r="BI44">
            <v>0.16843118036043342</v>
          </cell>
          <cell r="BJ44">
            <v>977553.18005204981</v>
          </cell>
          <cell r="BK44">
            <v>0</v>
          </cell>
          <cell r="BM44">
            <v>977553.18005204981</v>
          </cell>
          <cell r="BN44">
            <v>8.4410796086596927E-3</v>
          </cell>
          <cell r="BO44">
            <v>24268.790938504691</v>
          </cell>
          <cell r="BP44">
            <v>1001821.9709905545</v>
          </cell>
          <cell r="BQ44">
            <v>0.17261266243947007</v>
          </cell>
          <cell r="BR44">
            <v>0</v>
          </cell>
          <cell r="BS44"/>
          <cell r="BT44">
            <v>5803873</v>
          </cell>
          <cell r="BU44">
            <v>0.17261266243947007</v>
          </cell>
          <cell r="BV44">
            <v>1001821.9709905545</v>
          </cell>
          <cell r="BW44">
            <v>0</v>
          </cell>
          <cell r="BY44">
            <v>1001821.9709905545</v>
          </cell>
          <cell r="BZ44">
            <v>8.4410796086596945E-3</v>
          </cell>
          <cell r="CA44">
            <v>0</v>
          </cell>
          <cell r="CB44">
            <v>1001821.9709905545</v>
          </cell>
          <cell r="CC44">
            <v>0.17261266243947007</v>
          </cell>
          <cell r="CD44">
            <v>0</v>
          </cell>
          <cell r="CE44"/>
          <cell r="CF44">
            <v>1741161.9</v>
          </cell>
          <cell r="CG44">
            <v>0</v>
          </cell>
          <cell r="CH44">
            <v>1001821.9709905545</v>
          </cell>
          <cell r="CI44">
            <v>0.17261266243947007</v>
          </cell>
          <cell r="CL44">
            <v>0</v>
          </cell>
          <cell r="CM44">
            <v>1001821.9709905545</v>
          </cell>
        </row>
        <row r="45">
          <cell r="B45" t="str">
            <v>Blackstone Area Bus</v>
          </cell>
          <cell r="C45"/>
          <cell r="D45">
            <v>604843</v>
          </cell>
          <cell r="E45">
            <v>28882</v>
          </cell>
          <cell r="F45">
            <v>15534</v>
          </cell>
          <cell r="G45">
            <v>413556</v>
          </cell>
          <cell r="H45">
            <v>1.6532606213554247E-3</v>
          </cell>
          <cell r="I45">
            <v>1.6532606213554249E-3</v>
          </cell>
          <cell r="J45"/>
          <cell r="K45">
            <v>1.3983089137029627</v>
          </cell>
          <cell r="L45">
            <v>1.5445728965960179</v>
          </cell>
          <cell r="M45">
            <v>1.8291929463251384</v>
          </cell>
          <cell r="N45">
            <v>1.8592764259044676</v>
          </cell>
          <cell r="O45">
            <v>0.93575618620058609</v>
          </cell>
          <cell r="P45">
            <v>1.5470488538351637E-3</v>
          </cell>
          <cell r="Q45">
            <v>1.4974183132115022E-3</v>
          </cell>
          <cell r="R45">
            <v>5.2832581392513109E-2</v>
          </cell>
          <cell r="S45">
            <v>5.8014121779238044E-2</v>
          </cell>
          <cell r="T45">
            <v>6.7953110393320887E-2</v>
          </cell>
          <cell r="U45">
            <v>6.9838183946067764E-2</v>
          </cell>
          <cell r="V45">
            <v>0.93786015683866342</v>
          </cell>
          <cell r="W45">
            <v>1.5505272656395849E-3</v>
          </cell>
          <cell r="X45">
            <v>1.5027454760085659E-3</v>
          </cell>
          <cell r="Y45">
            <v>37.360937197444009</v>
          </cell>
          <cell r="Z45">
            <v>36.826011560693644</v>
          </cell>
          <cell r="AA45">
            <v>46.109795340455655</v>
          </cell>
          <cell r="AB45">
            <v>38.936719454100682</v>
          </cell>
          <cell r="AC45">
            <v>0.97827769072150195</v>
          </cell>
          <cell r="AD45">
            <v>1.689970687296475E-3</v>
          </cell>
          <cell r="AE45">
            <v>1.6924927395222033E-3</v>
          </cell>
          <cell r="AF45">
            <v>1.4116156566272406</v>
          </cell>
          <cell r="AG45">
            <v>1.3831841307289821</v>
          </cell>
          <cell r="AH45">
            <v>1.712943415443541</v>
          </cell>
          <cell r="AI45">
            <v>1.4625419532058537</v>
          </cell>
          <cell r="AJ45">
            <v>0.97981392718326255</v>
          </cell>
          <cell r="AK45">
            <v>1.6873210060487354E-3</v>
          </cell>
          <cell r="AL45">
            <v>1.6898557737966878E-3</v>
          </cell>
          <cell r="AM45">
            <v>26.718657680945348</v>
          </cell>
          <cell r="AN45">
            <v>23.842197180755957</v>
          </cell>
          <cell r="AO45">
            <v>25.207726409119697</v>
          </cell>
          <cell r="AP45">
            <v>20.941866906723909</v>
          </cell>
          <cell r="AQ45">
            <v>1.0464177737850957</v>
          </cell>
          <cell r="AR45">
            <v>1.5799240635747816E-3</v>
          </cell>
          <cell r="AS45">
            <v>1.5895408193082323E-3</v>
          </cell>
          <cell r="AT45"/>
          <cell r="AU45">
            <v>2.9948366264230048E-4</v>
          </cell>
          <cell r="AV45">
            <v>3.0054909520171321E-4</v>
          </cell>
          <cell r="AW45">
            <v>3.3849854790444069E-4</v>
          </cell>
          <cell r="AX45">
            <v>3.3797115475933757E-4</v>
          </cell>
          <cell r="AY45">
            <v>3.1790816386164647E-4</v>
          </cell>
          <cell r="AZ45">
            <v>-3.5596321732830234E-2</v>
          </cell>
          <cell r="BA45">
            <v>37946.038242732873</v>
          </cell>
          <cell r="BB45">
            <v>38081.033735601603</v>
          </cell>
          <cell r="BC45">
            <v>42889.414168922383</v>
          </cell>
          <cell r="BD45">
            <v>42822.59088956059</v>
          </cell>
          <cell r="BE45">
            <v>40280.512256120448</v>
          </cell>
          <cell r="BF45">
            <v>202019.58929293789</v>
          </cell>
          <cell r="BH45">
            <v>604843</v>
          </cell>
          <cell r="BI45">
            <v>0.33400335176721546</v>
          </cell>
          <cell r="BJ45">
            <v>181452.9</v>
          </cell>
          <cell r="BK45">
            <v>20566.689292937896</v>
          </cell>
          <cell r="BM45">
            <v>0</v>
          </cell>
          <cell r="BN45">
            <v>0</v>
          </cell>
          <cell r="BO45">
            <v>0</v>
          </cell>
          <cell r="BP45">
            <v>181452.9</v>
          </cell>
          <cell r="BQ45">
            <v>0.3</v>
          </cell>
          <cell r="BR45">
            <v>0</v>
          </cell>
          <cell r="BS45"/>
          <cell r="BT45">
            <v>604843</v>
          </cell>
          <cell r="BU45">
            <v>0.3</v>
          </cell>
          <cell r="BV45">
            <v>181452.9</v>
          </cell>
          <cell r="BW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181452.9</v>
          </cell>
          <cell r="CC45">
            <v>0.3</v>
          </cell>
          <cell r="CD45">
            <v>0</v>
          </cell>
          <cell r="CE45"/>
          <cell r="CF45">
            <v>181452.9</v>
          </cell>
          <cell r="CG45">
            <v>0</v>
          </cell>
          <cell r="CH45">
            <v>181452.9</v>
          </cell>
          <cell r="CI45">
            <v>0.3</v>
          </cell>
          <cell r="CL45">
            <v>0</v>
          </cell>
          <cell r="CM45">
            <v>181452.9</v>
          </cell>
        </row>
        <row r="46">
          <cell r="B46" t="str">
            <v>JAUNT</v>
          </cell>
          <cell r="C46"/>
          <cell r="D46">
            <v>4844103</v>
          </cell>
          <cell r="E46">
            <v>125848</v>
          </cell>
          <cell r="F46">
            <v>46101.396664300002</v>
          </cell>
          <cell r="G46">
            <v>906466.02099999995</v>
          </cell>
          <cell r="H46">
            <v>7.3281172519339671E-3</v>
          </cell>
          <cell r="I46">
            <v>7.3281172519339679E-3</v>
          </cell>
          <cell r="J46"/>
          <cell r="K46">
            <v>2.0644874296866029</v>
          </cell>
          <cell r="L46">
            <v>2.271031556749429</v>
          </cell>
          <cell r="M46">
            <v>2.6724711742855303</v>
          </cell>
          <cell r="N46">
            <v>2.7298088367343145</v>
          </cell>
          <cell r="O46">
            <v>0.93402485678415115</v>
          </cell>
          <cell r="P46">
            <v>6.8446436667350917E-3</v>
          </cell>
          <cell r="Q46">
            <v>6.6250621294654368E-3</v>
          </cell>
          <cell r="R46">
            <v>9.9364322496519109E-2</v>
          </cell>
          <cell r="S46">
            <v>0.11118198611423494</v>
          </cell>
          <cell r="T46">
            <v>0.13217419191779745</v>
          </cell>
          <cell r="U46">
            <v>0.13883366511760292</v>
          </cell>
          <cell r="V46">
            <v>0.95531263932332255</v>
          </cell>
          <cell r="W46">
            <v>7.000643033215812E-3</v>
          </cell>
          <cell r="X46">
            <v>6.7849078700182811E-3</v>
          </cell>
          <cell r="Y46">
            <v>134.38379634944323</v>
          </cell>
          <cell r="Z46">
            <v>98.371300178244169</v>
          </cell>
          <cell r="AA46">
            <v>93.44738367723788</v>
          </cell>
          <cell r="AB46">
            <v>108.95381405851531</v>
          </cell>
          <cell r="AC46">
            <v>0.90591383740562093</v>
          </cell>
          <cell r="AD46">
            <v>8.0891989385220298E-3</v>
          </cell>
          <cell r="AE46">
            <v>8.1012709716884127E-3</v>
          </cell>
          <cell r="AF46">
            <v>6.4679274316529272</v>
          </cell>
          <cell r="AG46">
            <v>4.8159245070602568</v>
          </cell>
          <cell r="AH46">
            <v>4.6216896717972462</v>
          </cell>
          <cell r="AI46">
            <v>5.5412148758304092</v>
          </cell>
          <cell r="AJ46">
            <v>0.92676229872522475</v>
          </cell>
          <cell r="AK46">
            <v>7.9072241738943217E-3</v>
          </cell>
          <cell r="AL46">
            <v>7.9191027534532589E-3</v>
          </cell>
          <cell r="AM46">
            <v>65.093056231319935</v>
          </cell>
          <cell r="AN46">
            <v>43.315690566204594</v>
          </cell>
          <cell r="AO46">
            <v>34.966657293214958</v>
          </cell>
          <cell r="AP46">
            <v>39.912616807577393</v>
          </cell>
          <cell r="AQ46">
            <v>0.96694396142407157</v>
          </cell>
          <cell r="AR46">
            <v>7.5786369678977538E-3</v>
          </cell>
          <cell r="AS46">
            <v>7.6247669700877756E-3</v>
          </cell>
          <cell r="AT46"/>
          <cell r="AU46">
            <v>1.3250124258930875E-3</v>
          </cell>
          <cell r="AV46">
            <v>1.3569815740036564E-3</v>
          </cell>
          <cell r="AW46">
            <v>1.6202541943376827E-3</v>
          </cell>
          <cell r="AX46">
            <v>1.5838205506906518E-3</v>
          </cell>
          <cell r="AY46">
            <v>1.5249533940175552E-3</v>
          </cell>
          <cell r="AZ46">
            <v>1.131325880283734E-2</v>
          </cell>
          <cell r="BA46">
            <v>167885.52584615586</v>
          </cell>
          <cell r="BB46">
            <v>171936.17256954708</v>
          </cell>
          <cell r="BC46">
            <v>205294.09544025661</v>
          </cell>
          <cell r="BD46">
            <v>200677.77539476691</v>
          </cell>
          <cell r="BE46">
            <v>193219.02002009974</v>
          </cell>
          <cell r="BF46">
            <v>939012.5892708262</v>
          </cell>
          <cell r="BH46">
            <v>5022923</v>
          </cell>
          <cell r="BI46">
            <v>0.18694544775439045</v>
          </cell>
          <cell r="BJ46">
            <v>939012.5892708262</v>
          </cell>
          <cell r="BK46">
            <v>0</v>
          </cell>
          <cell r="BM46">
            <v>939012.5892708262</v>
          </cell>
          <cell r="BN46">
            <v>8.1082852384017374E-3</v>
          </cell>
          <cell r="BO46">
            <v>23311.980036139077</v>
          </cell>
          <cell r="BP46">
            <v>962324.56930696522</v>
          </cell>
          <cell r="BQ46">
            <v>0.19158656609049457</v>
          </cell>
          <cell r="BR46">
            <v>0</v>
          </cell>
          <cell r="BS46"/>
          <cell r="BT46">
            <v>5022923</v>
          </cell>
          <cell r="BU46">
            <v>0.19158656609049457</v>
          </cell>
          <cell r="BV46">
            <v>962324.56930696522</v>
          </cell>
          <cell r="BW46">
            <v>0</v>
          </cell>
          <cell r="BY46">
            <v>962324.56930696522</v>
          </cell>
          <cell r="BZ46">
            <v>8.1082852384017374E-3</v>
          </cell>
          <cell r="CA46">
            <v>0</v>
          </cell>
          <cell r="CB46">
            <v>962324.56930696522</v>
          </cell>
          <cell r="CC46">
            <v>0.19158656609049457</v>
          </cell>
          <cell r="CD46">
            <v>0</v>
          </cell>
          <cell r="CE46"/>
          <cell r="CF46">
            <v>1506876.9</v>
          </cell>
          <cell r="CG46">
            <v>0</v>
          </cell>
          <cell r="CH46">
            <v>962324.56930696522</v>
          </cell>
          <cell r="CI46">
            <v>0.19158656609049457</v>
          </cell>
          <cell r="CL46">
            <v>0</v>
          </cell>
          <cell r="CM46">
            <v>962324.56930696522</v>
          </cell>
        </row>
        <row r="47">
          <cell r="B47" t="str">
            <v>Lake Area</v>
          </cell>
          <cell r="C47"/>
          <cell r="D47">
            <v>457239</v>
          </cell>
          <cell r="E47">
            <v>12090</v>
          </cell>
          <cell r="F47">
            <v>5064</v>
          </cell>
          <cell r="G47">
            <v>59926</v>
          </cell>
          <cell r="H47">
            <v>6.6928241831976619E-4</v>
          </cell>
          <cell r="I47">
            <v>6.692824183197663E-4</v>
          </cell>
          <cell r="J47"/>
          <cell r="K47">
            <v>2.06749490079733</v>
          </cell>
          <cell r="L47">
            <v>2.1966604823747682</v>
          </cell>
          <cell r="M47">
            <v>2.1937241638481773</v>
          </cell>
          <cell r="N47">
            <v>2.3874407582938391</v>
          </cell>
          <cell r="O47">
            <v>0.89509204736198367</v>
          </cell>
          <cell r="P47">
            <v>5.9906937007721923E-4</v>
          </cell>
          <cell r="Q47">
            <v>5.798507548186887E-4</v>
          </cell>
          <cell r="R47">
            <v>0.21433239783168659</v>
          </cell>
          <cell r="S47">
            <v>0.21260549470281917</v>
          </cell>
          <cell r="T47">
            <v>0.19288275041715541</v>
          </cell>
          <cell r="U47">
            <v>0.20174882354904383</v>
          </cell>
          <cell r="V47">
            <v>0.84151676129837449</v>
          </cell>
          <cell r="W47">
            <v>5.6321237305839364E-4</v>
          </cell>
          <cell r="X47">
            <v>5.4585615125989312E-4</v>
          </cell>
          <cell r="Y47">
            <v>27.145188206934915</v>
          </cell>
          <cell r="Z47">
            <v>30.05751391465677</v>
          </cell>
          <cell r="AA47">
            <v>32.056181886508831</v>
          </cell>
          <cell r="AB47">
            <v>90.292061611374407</v>
          </cell>
          <cell r="AC47">
            <v>1.5961923046443367</v>
          </cell>
          <cell r="AD47">
            <v>4.1929936410067814E-4</v>
          </cell>
          <cell r="AE47">
            <v>4.1992511157809049E-4</v>
          </cell>
          <cell r="AF47">
            <v>2.8140786590288722</v>
          </cell>
          <cell r="AG47">
            <v>2.9091398814868019</v>
          </cell>
          <cell r="AH47">
            <v>2.8185332650465065</v>
          </cell>
          <cell r="AI47">
            <v>7.6300604078363312</v>
          </cell>
          <cell r="AJ47">
            <v>1.5109100097087511</v>
          </cell>
          <cell r="AK47">
            <v>4.4296643348651837E-4</v>
          </cell>
          <cell r="AL47">
            <v>4.4363187712468923E-4</v>
          </cell>
          <cell r="AM47">
            <v>13.129506726457398</v>
          </cell>
          <cell r="AN47">
            <v>13.683277027027026</v>
          </cell>
          <cell r="AO47">
            <v>14.612676659528908</v>
          </cell>
          <cell r="AP47">
            <v>37.819602977667493</v>
          </cell>
          <cell r="AQ47">
            <v>1.7190933112114191</v>
          </cell>
          <cell r="AR47">
            <v>3.8932291455903175E-4</v>
          </cell>
          <cell r="AS47">
            <v>3.9169266349638128E-4</v>
          </cell>
          <cell r="AT47"/>
          <cell r="AU47">
            <v>1.1597015096373774E-4</v>
          </cell>
          <cell r="AV47">
            <v>1.0917123025197863E-4</v>
          </cell>
          <cell r="AW47">
            <v>8.3985022315618107E-5</v>
          </cell>
          <cell r="AX47">
            <v>8.8726375424937845E-5</v>
          </cell>
          <cell r="AY47">
            <v>7.8338532699276259E-5</v>
          </cell>
          <cell r="AZ47">
            <v>-0.28850467512499878</v>
          </cell>
          <cell r="BA47">
            <v>14693.982785770615</v>
          </cell>
          <cell r="BB47">
            <v>13832.526427645789</v>
          </cell>
          <cell r="BC47">
            <v>10641.31125046247</v>
          </cell>
          <cell r="BD47">
            <v>11242.06377506157</v>
          </cell>
          <cell r="BE47">
            <v>9925.8735233140142</v>
          </cell>
          <cell r="BF47">
            <v>60335.757762254463</v>
          </cell>
          <cell r="BH47">
            <v>457239</v>
          </cell>
          <cell r="BI47">
            <v>0.13195671795768615</v>
          </cell>
          <cell r="BJ47">
            <v>60335.757762254463</v>
          </cell>
          <cell r="BK47">
            <v>0</v>
          </cell>
          <cell r="BM47">
            <v>60335.757762254463</v>
          </cell>
          <cell r="BN47">
            <v>5.2099358368705765E-4</v>
          </cell>
          <cell r="BO47">
            <v>1497.8989594923621</v>
          </cell>
          <cell r="BP47">
            <v>61833.656721746825</v>
          </cell>
          <cell r="BQ47">
            <v>0.13523268295518717</v>
          </cell>
          <cell r="BR47">
            <v>0</v>
          </cell>
          <cell r="BS47"/>
          <cell r="BT47">
            <v>457239</v>
          </cell>
          <cell r="BU47">
            <v>0.13523268295518717</v>
          </cell>
          <cell r="BV47">
            <v>61833.656721746825</v>
          </cell>
          <cell r="BW47">
            <v>0</v>
          </cell>
          <cell r="BY47">
            <v>61833.656721746825</v>
          </cell>
          <cell r="BZ47">
            <v>5.2099358368705765E-4</v>
          </cell>
          <cell r="CA47">
            <v>0</v>
          </cell>
          <cell r="CB47">
            <v>61833.656721746825</v>
          </cell>
          <cell r="CC47">
            <v>0.13523268295518717</v>
          </cell>
          <cell r="CD47">
            <v>0</v>
          </cell>
          <cell r="CE47"/>
          <cell r="CF47">
            <v>137171.69999999998</v>
          </cell>
          <cell r="CG47">
            <v>0</v>
          </cell>
          <cell r="CH47">
            <v>61833.656721746825</v>
          </cell>
          <cell r="CI47">
            <v>0.13523268295518717</v>
          </cell>
          <cell r="CL47">
            <v>0</v>
          </cell>
          <cell r="CM47">
            <v>61833.656721746825</v>
          </cell>
        </row>
        <row r="48">
          <cell r="B48" t="str">
            <v>RADAR</v>
          </cell>
          <cell r="C48"/>
          <cell r="D48">
            <v>1214573</v>
          </cell>
          <cell r="E48">
            <v>62326</v>
          </cell>
          <cell r="F48">
            <v>18443</v>
          </cell>
          <cell r="G48">
            <v>310461</v>
          </cell>
          <cell r="H48">
            <v>2.2842996612889377E-3</v>
          </cell>
          <cell r="I48">
            <v>2.2842996612889382E-3</v>
          </cell>
          <cell r="J48"/>
          <cell r="K48">
            <v>1.8714498597475455</v>
          </cell>
          <cell r="L48">
            <v>2.7255388346838654</v>
          </cell>
          <cell r="M48">
            <v>3.379350030141941</v>
          </cell>
          <cell r="N48">
            <v>3.379385132570623</v>
          </cell>
          <cell r="O48">
            <v>1.0377100683979792</v>
          </cell>
          <cell r="P48">
            <v>2.3704407577576246E-3</v>
          </cell>
          <cell r="Q48">
            <v>2.2943951590473927E-3</v>
          </cell>
          <cell r="R48">
            <v>0.12054951539089166</v>
          </cell>
          <cell r="S48">
            <v>0.1590504069225078</v>
          </cell>
          <cell r="T48">
            <v>0.19664325941233121</v>
          </cell>
          <cell r="U48">
            <v>0.20075307365498404</v>
          </cell>
          <cell r="V48">
            <v>1.0125894313685293</v>
          </cell>
          <cell r="W48">
            <v>2.3130576950998898E-3</v>
          </cell>
          <cell r="X48">
            <v>2.2417774031367023E-3</v>
          </cell>
          <cell r="Y48">
            <v>53.352691093969142</v>
          </cell>
          <cell r="Z48">
            <v>79.509949837384923</v>
          </cell>
          <cell r="AA48">
            <v>73.872855811914292</v>
          </cell>
          <cell r="AB48">
            <v>66.185056661063825</v>
          </cell>
          <cell r="AC48">
            <v>1.0631089096658457</v>
          </cell>
          <cell r="AD48">
            <v>2.148697692701056E-3</v>
          </cell>
          <cell r="AE48">
            <v>2.1519043328156033E-3</v>
          </cell>
          <cell r="AF48">
            <v>3.4367156686984583</v>
          </cell>
          <cell r="AG48">
            <v>4.639849454756007</v>
          </cell>
          <cell r="AH48">
            <v>4.2986370217298404</v>
          </cell>
          <cell r="AI48">
            <v>3.9317369975616905</v>
          </cell>
          <cell r="AJ48">
            <v>1.0292620787887317</v>
          </cell>
          <cell r="AK48">
            <v>2.2193566715070028E-3</v>
          </cell>
          <cell r="AL48">
            <v>2.2226906866066624E-3</v>
          </cell>
          <cell r="AM48">
            <v>28.508747277453804</v>
          </cell>
          <cell r="AN48">
            <v>29.17219480624545</v>
          </cell>
          <cell r="AO48">
            <v>21.860078166809917</v>
          </cell>
          <cell r="AP48">
            <v>19.584940474280398</v>
          </cell>
          <cell r="AQ48">
            <v>1.01288844997681</v>
          </cell>
          <cell r="AR48">
            <v>2.2552332009919125E-3</v>
          </cell>
          <cell r="AS48">
            <v>2.2689604599886743E-3</v>
          </cell>
          <cell r="AT48"/>
          <cell r="AU48">
            <v>4.5887903180947859E-4</v>
          </cell>
          <cell r="AV48">
            <v>4.483554806273405E-4</v>
          </cell>
          <cell r="AW48">
            <v>4.3038086656312069E-4</v>
          </cell>
          <cell r="AX48">
            <v>4.4453813732133249E-4</v>
          </cell>
          <cell r="AY48">
            <v>4.537920919977349E-4</v>
          </cell>
          <cell r="AZ48">
            <v>-2.1167999010535569E-2</v>
          </cell>
          <cell r="BA48">
            <v>58142.207612266815</v>
          </cell>
          <cell r="BB48">
            <v>56808.822438319214</v>
          </cell>
          <cell r="BC48">
            <v>54531.351317986686</v>
          </cell>
          <cell r="BD48">
            <v>56325.146454803442</v>
          </cell>
          <cell r="BE48">
            <v>57497.667569808953</v>
          </cell>
          <cell r="BF48">
            <v>283305.19539318513</v>
          </cell>
          <cell r="BH48">
            <v>1220651</v>
          </cell>
          <cell r="BI48">
            <v>0.23209352664535984</v>
          </cell>
          <cell r="BJ48">
            <v>283305.19539318513</v>
          </cell>
          <cell r="BK48">
            <v>0</v>
          </cell>
          <cell r="BM48">
            <v>283305.19539318513</v>
          </cell>
          <cell r="BN48">
            <v>2.4463136703554429E-3</v>
          </cell>
          <cell r="BO48">
            <v>7033.3509205333958</v>
          </cell>
          <cell r="BP48">
            <v>290338.54631371854</v>
          </cell>
          <cell r="BQ48">
            <v>0.23785549376006618</v>
          </cell>
          <cell r="BR48">
            <v>0</v>
          </cell>
          <cell r="BS48"/>
          <cell r="BT48">
            <v>1220651</v>
          </cell>
          <cell r="BU48">
            <v>0.23785549376006618</v>
          </cell>
          <cell r="BV48">
            <v>290338.54631371854</v>
          </cell>
          <cell r="BW48">
            <v>0</v>
          </cell>
          <cell r="BY48">
            <v>290338.54631371854</v>
          </cell>
          <cell r="BZ48">
            <v>2.4463136703554429E-3</v>
          </cell>
          <cell r="CA48">
            <v>0</v>
          </cell>
          <cell r="CB48">
            <v>290338.54631371854</v>
          </cell>
          <cell r="CC48">
            <v>0.23785549376006618</v>
          </cell>
          <cell r="CD48">
            <v>0</v>
          </cell>
          <cell r="CE48"/>
          <cell r="CF48">
            <v>366195.3</v>
          </cell>
          <cell r="CG48">
            <v>0</v>
          </cell>
          <cell r="CH48">
            <v>290338.54631371854</v>
          </cell>
          <cell r="CI48">
            <v>0.23785549376006618</v>
          </cell>
          <cell r="CL48">
            <v>0</v>
          </cell>
          <cell r="CM48">
            <v>290338.54631371854</v>
          </cell>
        </row>
        <row r="49">
          <cell r="B49" t="str">
            <v>VRT</v>
          </cell>
          <cell r="C49"/>
          <cell r="D49">
            <v>4861903</v>
          </cell>
          <cell r="E49">
            <v>192152</v>
          </cell>
          <cell r="F49">
            <v>63064.05</v>
          </cell>
          <cell r="G49">
            <v>985112</v>
          </cell>
          <cell r="H49">
            <v>8.1998366523091792E-3</v>
          </cell>
          <cell r="I49">
            <v>8.1998366523091809E-3</v>
          </cell>
          <cell r="J49"/>
          <cell r="K49">
            <v>2.6052602436323364</v>
          </cell>
          <cell r="L49">
            <v>2.7993357457988401</v>
          </cell>
          <cell r="M49">
            <v>2.9370912341787041</v>
          </cell>
          <cell r="N49">
            <v>3.0469340297681482</v>
          </cell>
          <cell r="O49">
            <v>0.89655682269168502</v>
          </cell>
          <cell r="P49">
            <v>7.3516194955851426E-3</v>
          </cell>
          <cell r="Q49">
            <v>7.1157737760910019E-3</v>
          </cell>
          <cell r="R49">
            <v>0.16890249812434263</v>
          </cell>
          <cell r="S49">
            <v>0.1810610173694088</v>
          </cell>
          <cell r="T49">
            <v>0.18826739427012279</v>
          </cell>
          <cell r="U49">
            <v>0.19505599363321124</v>
          </cell>
          <cell r="V49">
            <v>0.89673887950738995</v>
          </cell>
          <cell r="W49">
            <v>7.3531123317353625E-3</v>
          </cell>
          <cell r="X49">
            <v>7.1265153060949887E-3</v>
          </cell>
          <cell r="Y49">
            <v>61.375230712440015</v>
          </cell>
          <cell r="Z49">
            <v>66.464250896412693</v>
          </cell>
          <cell r="AA49">
            <v>73.070531219122003</v>
          </cell>
          <cell r="AB49">
            <v>77.638416815919683</v>
          </cell>
          <cell r="AC49">
            <v>1.0340237832501058</v>
          </cell>
          <cell r="AD49">
            <v>7.9300271281340876E-3</v>
          </cell>
          <cell r="AE49">
            <v>7.9418616189444527E-3</v>
          </cell>
          <cell r="AF49">
            <v>3.9790381078535897</v>
          </cell>
          <cell r="AG49">
            <v>4.2989073047277451</v>
          </cell>
          <cell r="AH49">
            <v>4.6838172238134641</v>
          </cell>
          <cell r="AI49">
            <v>4.9701891764591233</v>
          </cell>
          <cell r="AJ49">
            <v>1.0349971909494167</v>
          </cell>
          <cell r="AK49">
            <v>7.9225689924697883E-3</v>
          </cell>
          <cell r="AL49">
            <v>7.9344706236893665E-3</v>
          </cell>
          <cell r="AM49">
            <v>23.558195716704567</v>
          </cell>
          <cell r="AN49">
            <v>23.742865069386646</v>
          </cell>
          <cell r="AO49">
            <v>24.878536413443978</v>
          </cell>
          <cell r="AP49">
            <v>25.48083288230151</v>
          </cell>
          <cell r="AQ49">
            <v>1.1585307516945786</v>
          </cell>
          <cell r="AR49">
            <v>7.077789381348152E-3</v>
          </cell>
          <cell r="AS49">
            <v>7.120870801007797E-3</v>
          </cell>
          <cell r="AT49"/>
          <cell r="AU49">
            <v>1.4231547552182005E-3</v>
          </cell>
          <cell r="AV49">
            <v>1.4253030612189979E-3</v>
          </cell>
          <cell r="AW49">
            <v>1.5883723237888907E-3</v>
          </cell>
          <cell r="AX49">
            <v>1.5868941247378734E-3</v>
          </cell>
          <cell r="AY49">
            <v>1.4241741602015595E-3</v>
          </cell>
          <cell r="AZ49">
            <v>-9.1701610535363798E-2</v>
          </cell>
          <cell r="BA49">
            <v>180320.63682664916</v>
          </cell>
          <cell r="BB49">
            <v>180592.83765705212</v>
          </cell>
          <cell r="BC49">
            <v>201254.50720889698</v>
          </cell>
          <cell r="BD49">
            <v>201067.2121917819</v>
          </cell>
          <cell r="BE49">
            <v>180449.80040152362</v>
          </cell>
          <cell r="BF49">
            <v>943684.99428590375</v>
          </cell>
          <cell r="BH49">
            <v>4896193</v>
          </cell>
          <cell r="BI49">
            <v>0.19273852037407507</v>
          </cell>
          <cell r="BJ49">
            <v>943684.99428590375</v>
          </cell>
          <cell r="BK49">
            <v>0</v>
          </cell>
          <cell r="BM49">
            <v>943684.99428590375</v>
          </cell>
          <cell r="BN49">
            <v>8.1486310154919115E-3</v>
          </cell>
          <cell r="BO49">
            <v>23427.977429227096</v>
          </cell>
          <cell r="BP49">
            <v>967112.97171513084</v>
          </cell>
          <cell r="BQ49">
            <v>0.19752345786106285</v>
          </cell>
          <cell r="BR49">
            <v>0</v>
          </cell>
          <cell r="BS49"/>
          <cell r="BT49">
            <v>4896193</v>
          </cell>
          <cell r="BU49">
            <v>0.19752345786106285</v>
          </cell>
          <cell r="BV49">
            <v>967112.97171513084</v>
          </cell>
          <cell r="BW49">
            <v>0</v>
          </cell>
          <cell r="BY49">
            <v>967112.97171513084</v>
          </cell>
          <cell r="BZ49">
            <v>8.1486310154919115E-3</v>
          </cell>
          <cell r="CA49">
            <v>0</v>
          </cell>
          <cell r="CB49">
            <v>967112.97171513084</v>
          </cell>
          <cell r="CC49">
            <v>0.19752345786106285</v>
          </cell>
          <cell r="CD49">
            <v>0</v>
          </cell>
          <cell r="CE49"/>
          <cell r="CF49">
            <v>1468857.9</v>
          </cell>
          <cell r="CG49">
            <v>0</v>
          </cell>
          <cell r="CH49">
            <v>967112.97171513084</v>
          </cell>
          <cell r="CI49">
            <v>0.19752345786106285</v>
          </cell>
          <cell r="CL49">
            <v>4766</v>
          </cell>
          <cell r="CM49">
            <v>971878.97171513084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azar, Paige (DRPT)" id="{47763035-7F4B-492D-943D-0AC8478C60E9}" userId="S::Paige.Lazar@drpt.virginia.gov::e94c36c9-bd70-40bd-834e-ecaef842054c" providerId="AD"/>
  <person displayName="Oware, Deanna (DRPT)" id="{57DCBE11-4CAB-4DDA-AF5D-25BAA0F5CE29}" userId="S::deanna.oware@drpt.virginia.gov::ba2b3b6a-5257-455a-a4bf-6f554de8950e" providerId="AD"/>
  <person displayName="Stankus, Grace (DRPT)" id="{26135B57-CE44-4E06-A6A0-2C3758392D60}" userId="S::Grace.Stankus@drpt.virginia.gov::fa3f1947-1c87-4ab2-be98-d27d63021bc9" providerId="AD"/>
  <person displayName="Sonenklar, Daniel (DRPT)" id="{219E334E-AE50-4B81-9DCE-64E13525D414}" userId="S::Daniel.Sonenklar@drpt.virginia.gov::d6f481ed-ad39-4e2c-b444-88caac57196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F5DBD3-E7A3-4CAF-9F96-87C4B27301AE}" name="Ridership" displayName="Ridership" ref="A1:I40" totalsRowShown="0" dataDxfId="104">
  <autoFilter ref="A1:I40" xr:uid="{7DF5DBD3-E7A3-4CAF-9F96-87C4B27301AE}"/>
  <sortState xmlns:xlrd2="http://schemas.microsoft.com/office/spreadsheetml/2017/richdata2" ref="A2:H40">
    <sortCondition ref="G1:G40"/>
  </sortState>
  <tableColumns count="9">
    <tableColumn id="1" xr3:uid="{22DDCF42-813E-4C8F-B655-2735E692B2E5}" name="Agency" dataDxfId="103" dataCellStyle="Normal 10 5"/>
    <tableColumn id="2" xr3:uid="{63A1B9B3-363A-4A74-8C29-4C12DCD54EAA}" name="FY22 Ridership" dataDxfId="102" dataCellStyle="Normal 10 5"/>
    <tableColumn id="3" xr3:uid="{CB93CB13-0554-4841-9CA8-C090B3371B7D}" name="FY23 Ridership" dataDxfId="101" dataCellStyle="Comma 2 2 2"/>
    <tableColumn id="4" xr3:uid="{BE04D0B7-A507-4F73-93C0-3B87705C9F8D}" name="FY24 Ridership" dataDxfId="100" dataCellStyle="Normal 10 5"/>
    <tableColumn id="5" xr3:uid="{472B8CE9-B5D2-4697-AEEF-E4BB4139F7ED}" name="FY25 Ridership" dataDxfId="99" dataCellStyle="Comma 2 2 2"/>
    <tableColumn id="6" xr3:uid="{DFB46BA1-94F2-4FEA-AB69-DFD01F0A81C1}" name="Construction District" dataDxfId="98" dataCellStyle="Normal 8 2 4"/>
    <tableColumn id="7" xr3:uid="{47BE9B5D-9C3F-4AA8-98C2-66EED0F181CB}" name="SYIP Order" dataDxfId="97" dataCellStyle="Normal 10 5"/>
    <tableColumn id="8" xr3:uid="{4C600682-5F5C-4CCE-8560-96B5B0A8E325}" name="Alphabetical Order" dataDxfId="96" dataCellStyle="Normal 10 5"/>
    <tableColumn id="9" xr3:uid="{6B41B252-D5B3-4BAE-B62F-3D2791F6178C}" name="3-Year Average" dataDxfId="95" dataCellStyle="Comma">
      <calculatedColumnFormula>AVERAGE(Ridership[[#This Row],[FY23 Ridership]:[FY25 Ridership]])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BF253D2-0180-48A6-8794-C6F75E2733CC}" name="VRH" displayName="VRH" ref="A1:I40" totalsRowShown="0" headerRowDxfId="94">
  <autoFilter ref="A1:I40" xr:uid="{FBF253D2-0180-48A6-8794-C6F75E2733CC}"/>
  <sortState xmlns:xlrd2="http://schemas.microsoft.com/office/spreadsheetml/2017/richdata2" ref="A2:H40">
    <sortCondition ref="G1:G40"/>
  </sortState>
  <tableColumns count="9">
    <tableColumn id="1" xr3:uid="{73D4B76F-20E6-459A-B286-EF089F1598C0}" name="Agency" dataDxfId="93" dataCellStyle="Normal 10 5"/>
    <tableColumn id="2" xr3:uid="{C42CB013-CC4D-489E-AF53-320B26A1D464}" name="FY22 Revenue Hours" dataDxfId="92" dataCellStyle="Normal 10 5"/>
    <tableColumn id="3" xr3:uid="{27C707EC-AF82-4C47-97FA-18C63FABE934}" name="FY23 Revenue Hours" dataDxfId="91" dataCellStyle="Normal 10 5"/>
    <tableColumn id="4" xr3:uid="{0EB6F67B-E462-4FFD-964F-F3A31F759D7C}" name="FY24 Revenue Hours" dataDxfId="90" dataCellStyle="Normal 10 5"/>
    <tableColumn id="5" xr3:uid="{498F4B2A-6950-463F-AE14-8613538AFF2A}" name="FY25 Revenue Hours" dataDxfId="89" dataCellStyle="Normal 10 5"/>
    <tableColumn id="6" xr3:uid="{78604642-F7AE-4399-BEBE-32D070ABE55E}" name="Construction District" dataDxfId="88" dataCellStyle="Normal 8 2 4"/>
    <tableColumn id="7" xr3:uid="{6A42854F-F143-493B-819C-088835A2144C}" name="SYIP Order" dataDxfId="87" dataCellStyle="Normal 10 5"/>
    <tableColumn id="8" xr3:uid="{DB27A785-6FA1-4193-9366-925C626C487A}" name="Alphabetical Order" dataDxfId="86" dataCellStyle="Normal 10 5"/>
    <tableColumn id="9" xr3:uid="{5BFF0696-5500-4630-A159-BBB3F269E5C2}" name="Column1" dataDxfId="85" dataCellStyle="Percent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1D7E8F-FB47-401A-85AD-D6CB521180BE}" name="VRHsizing" displayName="VRHsizing" ref="A1:I40" totalsRowShown="0" headerRowDxfId="84">
  <autoFilter ref="A1:I40" xr:uid="{FBF253D2-0180-48A6-8794-C6F75E2733CC}"/>
  <sortState xmlns:xlrd2="http://schemas.microsoft.com/office/spreadsheetml/2017/richdata2" ref="A2:H40">
    <sortCondition ref="G1:G40"/>
  </sortState>
  <tableColumns count="9">
    <tableColumn id="1" xr3:uid="{8B72772D-8BC1-4785-A6EC-7EBFA6C2986D}" name="Agency" dataDxfId="83" dataCellStyle="Normal 10 5"/>
    <tableColumn id="2" xr3:uid="{26A150B8-8A08-4CDA-8C20-50F28401812C}" name="FY22 Revenue Hours" dataDxfId="82" dataCellStyle="Normal 10 5"/>
    <tableColumn id="3" xr3:uid="{89518FB4-0B5B-4B0A-AE97-C563088EC00A}" name="FY23 Revenue Hours" dataDxfId="81" dataCellStyle="Normal 10 5"/>
    <tableColumn id="4" xr3:uid="{DD08C2D5-37FB-4359-9D53-3B9BFCC45E34}" name="FY24 Revenue Hours" dataDxfId="80" dataCellStyle="Normal 10 5"/>
    <tableColumn id="5" xr3:uid="{666B2534-F036-422E-B6E8-94B6548FDFF3}" name="FY25 Revenue Hours" dataDxfId="79" dataCellStyle="Normal 10 5"/>
    <tableColumn id="6" xr3:uid="{8047C1FC-6115-45EC-9ED9-95B846AC518B}" name="Construction District" dataDxfId="78" dataCellStyle="Normal 8 2 4"/>
    <tableColumn id="7" xr3:uid="{79604E2E-3859-451D-B8F0-4F251514308A}" name="SYIP Order" dataDxfId="77" dataCellStyle="Normal 10 5"/>
    <tableColumn id="8" xr3:uid="{8504226E-A17B-48C4-9B3E-B328BE5727F3}" name="Alphabetical Order" dataDxfId="76" dataCellStyle="Normal 10 5"/>
    <tableColumn id="9" xr3:uid="{315DD7F6-6C14-4103-907D-683D48BE1F9A}" name="3-Year Average" dataDxfId="75" dataCellStyle="Comma">
      <calculatedColumnFormula>AVERAGE(VRHsizing[[#This Row],[FY23 Revenue Hours]:[FY25 Revenue Hours]])</calculatedColumnFormula>
    </tableColumn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FD4A7F-9159-48F4-B20C-A1CC34A5DAFD}" name="VRM" displayName="VRM" ref="A1:H40" totalsRowShown="0" headerRowDxfId="74" headerRowCellStyle="Normal 10 5">
  <autoFilter ref="A1:H40" xr:uid="{B1FD4A7F-9159-48F4-B20C-A1CC34A5DAFD}"/>
  <sortState xmlns:xlrd2="http://schemas.microsoft.com/office/spreadsheetml/2017/richdata2" ref="A2:H40">
    <sortCondition ref="G1:G40"/>
  </sortState>
  <tableColumns count="8">
    <tableColumn id="1" xr3:uid="{742AFD65-4CCC-4E39-B589-472AB33AF240}" name="Agency" dataDxfId="73" dataCellStyle="Normal 10 5"/>
    <tableColumn id="2" xr3:uid="{F0559289-852B-40EE-B543-F82BDA890819}" name="FY22 Revenue Miles" dataDxfId="72" dataCellStyle="Normal 10 5"/>
    <tableColumn id="3" xr3:uid="{D09F2046-B560-45AA-81FF-5A08B336DACB}" name="FY23 Revenue Miles" dataDxfId="71"/>
    <tableColumn id="4" xr3:uid="{CC932B64-1677-4DB6-A547-BB9C85E935EF}" name="FY24 Revenue Miles" dataDxfId="70" dataCellStyle="Normal 10 5"/>
    <tableColumn id="5" xr3:uid="{12DF193E-E77C-43AA-8B7D-8E0775FA133C}" name="FY25 Revenue Miles" dataDxfId="69" dataCellStyle="Normal 10 5"/>
    <tableColumn id="6" xr3:uid="{D036A7F0-9CA1-449F-9C5F-C282C1FC6D54}" name="Construction District" dataDxfId="68" dataCellStyle="Normal 8 2 4"/>
    <tableColumn id="7" xr3:uid="{CFBCBBBB-BCB5-41EC-BA28-C5AB7AAB3649}" name="SYIP Order" dataDxfId="67" dataCellStyle="Normal 10 5"/>
    <tableColumn id="8" xr3:uid="{BFB6AC1C-F592-4C45-8B90-A878A524041F}" name="Alphabetical Order" dataDxfId="66" dataCellStyle="Normal 10 5"/>
  </tableColumns>
  <tableStyleInfo name="TableStyleMedium1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B26316-8DE9-42FC-B2C4-12DCC8085D78}" name="VRMsizing" displayName="VRMsizing" ref="A1:I40" totalsRowShown="0" headerRowDxfId="65" headerRowCellStyle="Normal 10 5">
  <autoFilter ref="A1:I40" xr:uid="{B1FD4A7F-9159-48F4-B20C-A1CC34A5DAFD}"/>
  <sortState xmlns:xlrd2="http://schemas.microsoft.com/office/spreadsheetml/2017/richdata2" ref="A2:H40">
    <sortCondition ref="G1:G40"/>
  </sortState>
  <tableColumns count="9">
    <tableColumn id="1" xr3:uid="{4D055E94-B153-4F91-BC5C-8F2D4A07E11D}" name="Agency" dataDxfId="64" dataCellStyle="Normal 10 5"/>
    <tableColumn id="2" xr3:uid="{75B44487-F0F7-4BB3-92B7-4D10EADC6693}" name="FY22 Revenue Miles" dataDxfId="63" dataCellStyle="Normal 10 5"/>
    <tableColumn id="3" xr3:uid="{3F4C5C65-A2A4-4FB7-ABAD-AD4CE0EDECC6}" name="FY23 Revenue Miles" dataDxfId="62"/>
    <tableColumn id="4" xr3:uid="{1C26B1CA-286A-4A6E-B8E8-198FEE7327CD}" name="FY24 Revenue Miles" dataDxfId="61" dataCellStyle="Normal 10 5"/>
    <tableColumn id="5" xr3:uid="{DB675CAC-F5F2-448B-88EF-9B4A41D17F96}" name="FY25 Revenue Miles" dataDxfId="60" dataCellStyle="Normal 10 5"/>
    <tableColumn id="6" xr3:uid="{BC16EE68-A3F6-416E-8F48-87358D384198}" name="Construction District" dataDxfId="59" dataCellStyle="Normal 8 2 4"/>
    <tableColumn id="7" xr3:uid="{430C5709-9A77-4D5C-BD75-E444D1A76925}" name="SYIP Order" dataDxfId="58" dataCellStyle="Normal 10 5"/>
    <tableColumn id="8" xr3:uid="{02A2EA88-CA5D-4A9A-805D-796F890027D3}" name="Alphabetical Order" dataDxfId="57" dataCellStyle="Normal 10 5"/>
    <tableColumn id="9" xr3:uid="{BDCF433C-42DA-40EC-8A52-0282E9AB9F6A}" name="3-Year Average" dataDxfId="56" dataCellStyle="Comma">
      <calculatedColumnFormula>AVERAGE(VRMsizing[[#This Row],[FY23 Revenue Miles]:[FY25 Revenue Miles]])</calculatedColumnFormula>
    </tableColumn>
  </tableColumns>
  <tableStyleInfo name="TableStyleMedium1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0015B1B-DB32-494D-AD60-6B840589E8C0}" name="OpCost" displayName="OpCost" ref="A1:I40" totalsRowShown="0" headerRowDxfId="55" dataDxfId="54">
  <autoFilter ref="A1:I40" xr:uid="{C0015B1B-DB32-494D-AD60-6B840589E8C0}"/>
  <sortState xmlns:xlrd2="http://schemas.microsoft.com/office/spreadsheetml/2017/richdata2" ref="A2:H40">
    <sortCondition ref="G1:G40"/>
  </sortState>
  <tableColumns count="9">
    <tableColumn id="1" xr3:uid="{C437131F-79B7-4EC7-A6A7-935DE72C99DF}" name="Agency" dataDxfId="53" dataCellStyle="Normal 10 5"/>
    <tableColumn id="2" xr3:uid="{D41D5D30-8F65-4E61-8BEF-D83288CEB90F}" name="FY22 Operating Cost Performance" dataDxfId="52" dataCellStyle="Comma 11 2"/>
    <tableColumn id="3" xr3:uid="{8FF8509E-C466-40CF-BF17-F278C41E6BCA}" name="FY23 Operating Cost Performance" dataDxfId="51" dataCellStyle="Comma 2 2"/>
    <tableColumn id="4" xr3:uid="{E139F0EE-1054-438E-BA23-FF32E46852D6}" name="FY24 Operating Cost Performance" dataDxfId="50" dataCellStyle="Comma"/>
    <tableColumn id="5" xr3:uid="{7CB3F69F-1CEA-4B7F-A038-77E49DDDC6F5}" name="FY25 Operating Cost Performance" dataDxfId="49" dataCellStyle="Currency"/>
    <tableColumn id="6" xr3:uid="{9D8AC085-EFBE-4D81-A6D2-A8A9108133D6}" name="Construction District" dataDxfId="48" dataCellStyle="Normal 8 2 4"/>
    <tableColumn id="7" xr3:uid="{4AAEF88C-31C8-4083-9943-49D515FCFF6C}" name="SYIP Order" dataDxfId="47" dataCellStyle="Normal 10 5"/>
    <tableColumn id="8" xr3:uid="{29B628C7-359B-4DD9-91D8-11974DEE094F}" name="Alphabetical Order" dataDxfId="46" dataCellStyle="Normal 10 5"/>
    <tableColumn id="9" xr3:uid="{94FC58C9-3D30-44D0-A196-5D362ACBA6C9}" name="3-Year Average" dataDxfId="45" dataCellStyle="Currency">
      <calculatedColumnFormula>AVERAGE(OpCost[[#This Row],[FY23 Operating Cost Performance]:[FY25 Operating Cost Performance]])</calculatedColumnFormula>
    </tableColumn>
  </tableColumns>
  <tableStyleInfo name="TableStyleMedium2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91D65A9-41B4-45C2-8B14-F39CAFF72C49}" name="Table7" displayName="Table7" ref="A1:E40" totalsRowShown="0" headerRowDxfId="44" dataDxfId="43" headerRowCellStyle="Normal 10 5">
  <autoFilter ref="A1:E40" xr:uid="{C91D65A9-41B4-45C2-8B14-F39CAFF72C49}"/>
  <sortState xmlns:xlrd2="http://schemas.microsoft.com/office/spreadsheetml/2017/richdata2" ref="A2:E40">
    <sortCondition ref="D1:D40"/>
  </sortState>
  <tableColumns count="5">
    <tableColumn id="1" xr3:uid="{A072C3FF-65C9-4F58-B54A-205EA77642BA}" name="Agency" dataDxfId="42" dataCellStyle="Normal 10 5"/>
    <tableColumn id="2" xr3:uid="{9B466E28-9345-427F-9A52-DD2EA9A8C0B8}" name="FY25 Op Cost Sizing" dataDxfId="41" dataCellStyle="Comma"/>
    <tableColumn id="3" xr3:uid="{1B9BE7AA-D5FD-4032-A33F-2A01039CCAE6}" name="Construction District" dataDxfId="40" dataCellStyle="Normal 8 2 4"/>
    <tableColumn id="4" xr3:uid="{F267FD47-A3C7-46E3-AD34-2C08934EFCA1}" name="SYIP Order" dataDxfId="39" dataCellStyle="Normal 10 5"/>
    <tableColumn id="5" xr3:uid="{B9D793F8-D6A7-4AC1-8E47-FE14BE53408A}" name="Alphabetical Order" dataDxfId="38" dataCellStyle="Normal 10 5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0B254A-A880-4E92-9163-4ADB72612DFC}" name="Table1" displayName="Table1" ref="A2:D40" totalsRowShown="0" headerRowDxfId="37" headerRowCellStyle="Normal 4 2">
  <autoFilter ref="A2:D40" xr:uid="{600B254A-A880-4E92-9163-4ADB72612DFC}"/>
  <sortState xmlns:xlrd2="http://schemas.microsoft.com/office/spreadsheetml/2017/richdata2" ref="A3:D40">
    <sortCondition ref="C2:C40"/>
  </sortState>
  <tableColumns count="4">
    <tableColumn id="1" xr3:uid="{9EF459D5-FDB2-411D-BA60-34A3761242ED}" name="Construction District" dataDxfId="36" dataCellStyle="Normal 8 2 4"/>
    <tableColumn id="2" xr3:uid="{836B6088-3E71-480E-9B00-7125D0A63B49}" name="Recipient (Eligible Agency)" dataDxfId="35" dataCellStyle="Comma 2 2 2"/>
    <tableColumn id="3" xr3:uid="{03F8C371-DD23-4EB1-A3CB-C410D62934D6}" name="SYIP Order"/>
    <tableColumn id="4" xr3:uid="{D7E3EFAF-F5D5-44AC-A7A3-6762A8BC4DB3}" name="Alphabetical Order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Q11" dT="2025-01-22T14:44:16.27" personId="{219E334E-AE50-4B81-9DCE-64E13525D414}" id="{9D6F9B68-4DD1-4951-9BBB-D6620207DF7D}">
    <text>If agencies are above 30%, a second round of re-allocation is needed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7" dT="2025-02-24T18:44:12.58" personId="{219E334E-AE50-4B81-9DCE-64E13525D414}" id="{8C64585B-2E70-4F91-BE32-966B1822472C}">
    <text>Added paratransit to CATs figures for FY21-FY24.</text>
  </threadedComment>
  <threadedComment ref="C7" dT="2025-02-24T18:44:20.93" personId="{219E334E-AE50-4B81-9DCE-64E13525D414}" id="{A277141A-ADF9-45D5-BD75-EB5B2062E9F5}">
    <text>Added paratransit to CATs figures for FY21-FY24.</text>
  </threadedComment>
  <threadedComment ref="D7" dT="2025-02-24T18:44:24.77" personId="{219E334E-AE50-4B81-9DCE-64E13525D414}" id="{6CF1EA1E-3733-4B11-9B16-AA9D1C5B49E0}">
    <text>Added paratransit to CATs figures for FY21-FY24.</text>
  </threadedComment>
  <threadedComment ref="D19" dT="2026-03-06T16:57:31.55" personId="{219E334E-AE50-4B81-9DCE-64E13525D414}" id="{C1D75439-8966-49E2-9353-8E3BC3E25989}">
    <text>Adjusted 3/6/26 based on updates provided in performance data reporting.</text>
  </threadedComment>
  <threadedComment ref="C24" dT="2025-02-20T16:48:24.53" personId="{26135B57-CE44-4E06-A6A0-2C3758392D60}" id="{1382D314-2C60-4B4F-85A4-FC9D3AC77C83}">
    <text>Updated this figure.</text>
  </threadedComment>
  <threadedComment ref="C24" dT="2025-02-24T18:44:43.51" personId="{219E334E-AE50-4B81-9DCE-64E13525D414}" id="{82E0F10E-2D64-4024-B7D5-EDA14E7469FF}" parentId="{1382D314-2C60-4B4F-85A4-FC9D3AC77C83}">
    <text>To reflect PRTC requested changes to FY23 reporting.</text>
  </threadedComment>
  <threadedComment ref="B37" dT="2025-02-24T18:45:32.06" personId="{219E334E-AE50-4B81-9DCE-64E13525D414}" id="{CECEC50C-D98C-41D0-9DFC-D8AA504DB917}">
    <text>Removed paratransit from Jaunts figures for FY21-FY24.</text>
  </threadedComment>
  <threadedComment ref="C37" dT="2025-02-24T18:45:37.06" personId="{219E334E-AE50-4B81-9DCE-64E13525D414}" id="{B6BBADEE-A052-46F2-8C29-376708320714}">
    <text>Removed paratransit from Jaunts figures for FY21-FY24.</text>
  </threadedComment>
  <threadedComment ref="D37" dT="2025-02-24T18:45:40.90" personId="{219E334E-AE50-4B81-9DCE-64E13525D414}" id="{9EC8208F-C73C-42C0-8F79-45ED2DF969BC}">
    <text>Removed paratransit from Jaunts figures for FY21-FY24.</text>
  </threadedComment>
  <threadedComment ref="C40" dT="2024-01-17T20:06:32.03" personId="{219E334E-AE50-4B81-9DCE-64E13525D414}" id="{8F652480-9BCA-4DD5-BA73-2A56E37C5FA3}">
    <text>Combined VRT and NSVRC (ShenGo Demo) reported figures.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7" dT="2025-02-24T18:43:53.78" personId="{219E334E-AE50-4B81-9DCE-64E13525D414}" id="{E37A4BEF-C96C-4BA1-A0D2-A7F822B2D3AE}">
    <text>Added paratransit to CATs figures for FY21-FY24.</text>
  </threadedComment>
  <threadedComment ref="C7" dT="2025-02-24T18:43:58.32" personId="{219E334E-AE50-4B81-9DCE-64E13525D414}" id="{CAA8D374-F452-465E-A64F-9E1F4248FCE8}">
    <text>Added paratransit to CATs figures for FY21-FY24.</text>
  </threadedComment>
  <threadedComment ref="D7" dT="2025-02-24T18:44:03.54" personId="{219E334E-AE50-4B81-9DCE-64E13525D414}" id="{C4EFF538-7791-4C5F-9327-165D799F44C9}">
    <text>Added paratransit to CATs figures for FY21-FY24.</text>
  </threadedComment>
  <threadedComment ref="D13" dT="2026-03-06T17:01:15.59" personId="{219E334E-AE50-4B81-9DCE-64E13525D414}" id="{6EA59C85-F490-40F9-95E6-D88E836D9180}">
    <text>Adjusted 3/6/26 based on RY24 NTD reporting</text>
  </threadedComment>
  <threadedComment ref="B19" dT="2026-02-26T17:34:47.30" personId="{219E334E-AE50-4B81-9DCE-64E13525D414}" id="{2144C367-A545-477F-B335-63A5765A6A78}">
    <text>Reduced Deadhead for Performance Metrics</text>
  </threadedComment>
  <threadedComment ref="C19" dT="2026-02-26T17:34:55.89" personId="{219E334E-AE50-4B81-9DCE-64E13525D414}" id="{BC14373F-05BB-47C1-B067-B00C6710F294}">
    <text>Reduced Deadhead for Performance Metrics</text>
  </threadedComment>
  <threadedComment ref="D19" dT="2026-02-26T17:35:01.10" personId="{219E334E-AE50-4B81-9DCE-64E13525D414}" id="{2BB57FDB-9511-4635-940B-CB537A2F309E}">
    <text>Reduced Deadhead for Performance Metrics</text>
  </threadedComment>
  <threadedComment ref="E19" dT="2026-03-02T13:50:02.05" personId="{219E334E-AE50-4B81-9DCE-64E13525D414}" id="{EAB1F975-983B-40CD-BBA6-5D4250BE0276}">
    <text>Reduced Deadhead for Performance Metrics</text>
  </threadedComment>
  <threadedComment ref="B23" dT="2026-02-26T17:35:38.98" personId="{219E334E-AE50-4B81-9DCE-64E13525D414}" id="{06C4B437-0788-4920-A22A-C0FDEADB261C}">
    <text>Reduced Deadhead for Performance Metrics</text>
  </threadedComment>
  <threadedComment ref="B24" dT="2026-02-26T17:35:56.66" personId="{219E334E-AE50-4B81-9DCE-64E13525D414}" id="{C0E47389-8B10-47AD-8A49-8018C97803AD}">
    <text>Reduced Deadhead for Performance Metrics</text>
  </threadedComment>
  <threadedComment ref="C24" dT="2026-02-26T17:36:00.59" personId="{219E334E-AE50-4B81-9DCE-64E13525D414}" id="{F86E2018-AAE3-4855-8695-97752CBDE1DB}">
    <text>Reduced Deadhead for Performance Metrics</text>
  </threadedComment>
  <threadedComment ref="D24" dT="2026-02-26T17:36:05.67" personId="{219E334E-AE50-4B81-9DCE-64E13525D414}" id="{A9DA97EC-E222-495E-92A9-C573B014FEA9}">
    <text>Reduced Deadhead for Performance Metrics</text>
  </threadedComment>
  <threadedComment ref="E24" dT="2026-03-02T13:50:15.00" personId="{219E334E-AE50-4B81-9DCE-64E13525D414}" id="{AF6DB1EB-D3E2-4AEB-B936-20F3355D640B}">
    <text>Reduced Deadhead for Performance Metrics</text>
  </threadedComment>
  <threadedComment ref="C26" dT="2026-02-26T17:36:09.66" personId="{219E334E-AE50-4B81-9DCE-64E13525D414}" id="{B302D0CA-7ED9-41FD-A2C3-AE22F3E63757}">
    <text>Reduced Deadhead for Performance Metrics</text>
  </threadedComment>
  <threadedComment ref="D26" dT="2026-02-26T17:36:13.32" personId="{219E334E-AE50-4B81-9DCE-64E13525D414}" id="{F47D1E2B-9247-4222-8D1E-9A90EDCBABA8}">
    <text>Reduced Deadhead for Performance Metrics</text>
  </threadedComment>
  <threadedComment ref="E26" dT="2026-03-02T13:52:31.58" personId="{219E334E-AE50-4B81-9DCE-64E13525D414}" id="{DC2BBDF7-12D9-4C77-8BEB-B1D3C90072D9}">
    <text>Reduced Deadhead for Performance Metrics</text>
  </threadedComment>
  <threadedComment ref="B37" dT="2025-02-24T18:45:50.03" personId="{219E334E-AE50-4B81-9DCE-64E13525D414}" id="{A29E7398-62D7-4084-A34E-5EFF0BD2AEDF}">
    <text>Removed paratransit from Jaunts figures for FY21-FY24.</text>
  </threadedComment>
  <threadedComment ref="C37" dT="2025-02-24T18:45:53.28" personId="{219E334E-AE50-4B81-9DCE-64E13525D414}" id="{8ED0E184-8FC3-4BC1-BC7D-AEF9E27984B4}">
    <text>Removed paratransit from Jaunts figures for FY21-FY24.</text>
  </threadedComment>
  <threadedComment ref="D37" dT="2025-02-24T18:45:56.56" personId="{219E334E-AE50-4B81-9DCE-64E13525D414}" id="{A20D73F2-78E1-4FB2-B21F-3A8E446173D8}">
    <text>Removed paratransit from Jaunts figures for FY21-FY24.</text>
  </threadedComment>
  <threadedComment ref="C40" dT="2024-01-17T20:06:14.97" personId="{219E334E-AE50-4B81-9DCE-64E13525D414}" id="{3CAF34A1-21BD-4E2F-BE9E-0F1842381763}">
    <text>Combined VRT and NSVRC (ShenGo Demo) reported figures.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7" dT="2025-02-24T18:43:53.78" personId="{219E334E-AE50-4B81-9DCE-64E13525D414}" id="{4F7C5641-37F3-4B2D-A4D7-6872DDF89AC4}">
    <text>Added paratransit to CATs figures for FY21-FY24.</text>
  </threadedComment>
  <threadedComment ref="C7" dT="2025-02-24T18:43:58.32" personId="{219E334E-AE50-4B81-9DCE-64E13525D414}" id="{127DAAE4-0F6E-4B3F-9147-387314B2696A}">
    <text>Added paratransit to CATs figures for FY21-FY24.</text>
  </threadedComment>
  <threadedComment ref="D7" dT="2025-02-24T18:44:03.54" personId="{219E334E-AE50-4B81-9DCE-64E13525D414}" id="{F49D1564-2F24-4850-8B64-212DFDFBF4DF}">
    <text>Added paratransit to CATs figures for FY21-FY24.</text>
  </threadedComment>
  <threadedComment ref="D13" dT="2026-03-06T17:08:33.34" personId="{219E334E-AE50-4B81-9DCE-64E13525D414}" id="{00C0880E-52D3-478E-9A36-82EAE1010802}">
    <text>Adjusted 3/6/26 based on RY24 NTD reporting</text>
  </threadedComment>
  <threadedComment ref="B19" dT="2023-02-13T19:41:24.79" personId="{219E334E-AE50-4B81-9DCE-64E13525D414}" id="{61BD9924-3B6F-4E81-8384-1865B28B30CF}">
    <text>Added deadhead for uni-directional commuter routes &gt;20</text>
  </threadedComment>
  <threadedComment ref="B19" dT="2023-02-13T19:41:33.57" personId="{219E334E-AE50-4B81-9DCE-64E13525D414}" id="{40C6C4F3-9C97-4B01-A404-0CDCF9618904}" parentId="{61BD9924-3B6F-4E81-8384-1865B28B30CF}">
    <text>+10,112</text>
  </threadedComment>
  <threadedComment ref="C19" dT="2024-02-05T15:33:06.12" personId="{47763035-7F4B-492D-943D-0AC8478C60E9}" id="{07EF9F89-92F1-43E7-87B0-4239202D07FD}">
    <text>Added deadhead for uni-directional commuter routes &gt; 20 mi</text>
  </threadedComment>
  <threadedComment ref="C19" dT="2024-02-05T15:33:23.77" personId="{47763035-7F4B-492D-943D-0AC8478C60E9}" id="{DBD3D694-07BB-4647-93B0-28C3EA480D25}" parentId="{07EF9F89-92F1-43E7-87B0-4239202D07FD}">
    <text>+10,206</text>
  </threadedComment>
  <threadedComment ref="D19" dT="2025-02-12T15:31:34.40" personId="{47763035-7F4B-492D-943D-0AC8478C60E9}" id="{24BCA393-EE54-4FEB-B39C-7F0988358ECB}">
    <text>Added deadhead for uni-directional commuter routes &gt; 20 mi</text>
  </threadedComment>
  <threadedComment ref="D19" dT="2025-02-12T15:31:44.52" personId="{47763035-7F4B-492D-943D-0AC8478C60E9}" id="{8A1AFB39-0CEE-45AD-B197-07E531802067}" parentId="{24BCA393-EE54-4FEB-B39C-7F0988358ECB}">
    <text xml:space="preserve">+ 12,922.92 </text>
  </threadedComment>
  <threadedComment ref="E19" dT="2026-02-27T20:49:42.98" personId="{26135B57-CE44-4E06-A6A0-2C3758392D60}" id="{C0F3EB5D-0AFF-4951-8076-80DB4334D4EB}">
    <text>Added deadhead for uni-directional commuter routes &gt; 20 mi</text>
  </threadedComment>
  <threadedComment ref="E19" dT="2026-02-27T20:58:26.72" personId="{26135B57-CE44-4E06-A6A0-2C3758392D60}" id="{0420D78F-BE87-481B-B807-787800A4C031}" parentId="{C0F3EB5D-0AFF-4951-8076-80DB4334D4EB}">
    <text>+ 16,940</text>
  </threadedComment>
  <threadedComment ref="B23" dT="2023-02-09T19:57:33.06" personId="{219E334E-AE50-4B81-9DCE-64E13525D414}" id="{65FA7240-22F2-46C0-9DF3-F46B78770CE7}">
    <text>Added deadhead for uni-directional commuter routes &gt;20</text>
  </threadedComment>
  <threadedComment ref="B23" dT="2023-02-09T19:58:09.27" personId="{219E334E-AE50-4B81-9DCE-64E13525D414}" id="{5AA59213-AE39-4588-8107-AC02F986771B}" parentId="{65FA7240-22F2-46C0-9DF3-F46B78770CE7}">
    <text>+2521</text>
  </threadedComment>
  <threadedComment ref="B24" dT="2023-02-10T22:07:44.22" personId="{219E334E-AE50-4B81-9DCE-64E13525D414}" id="{7DF57E5A-0769-4227-A205-491891548E67}">
    <text>Added deadhead for uni-directional communter routes &gt;20mi</text>
  </threadedComment>
  <threadedComment ref="B24" dT="2023-02-10T22:08:47.36" personId="{219E334E-AE50-4B81-9DCE-64E13525D414}" id="{F64C63B9-2C81-4773-81BD-213CAA31A775}" parentId="{7DF57E5A-0769-4227-A205-491891548E67}">
    <text>+71,220</text>
  </threadedComment>
  <threadedComment ref="C24" dT="2024-02-05T15:34:55.40" personId="{47763035-7F4B-492D-943D-0AC8478C60E9}" id="{CEDA2E6D-0183-43A4-9C2C-5B6B60E943A5}">
    <text>Added deadhead for uni-directional commuter routes &gt; 20 mi</text>
  </threadedComment>
  <threadedComment ref="C24" dT="2024-02-05T15:35:04.79" personId="{47763035-7F4B-492D-943D-0AC8478C60E9}" id="{B34ACDB8-6414-40DB-BB75-FF46FC3A2B23}" parentId="{CEDA2E6D-0183-43A4-9C2C-5B6B60E943A5}">
    <text>+57,989</text>
  </threadedComment>
  <threadedComment ref="D24" dT="2025-02-06T19:06:58.50" personId="{47763035-7F4B-492D-943D-0AC8478C60E9}" id="{DDC1B100-69AC-4C5F-A0C6-610EC1DEF51E}">
    <text>Added deadhead for uni-directional commuter routes &gt; 20 mi</text>
  </threadedComment>
  <threadedComment ref="D24" dT="2025-02-06T19:07:11.69" personId="{47763035-7F4B-492D-943D-0AC8478C60E9}" id="{E9DB9411-461B-44F8-8187-A059A5CF782C}" parentId="{DDC1B100-69AC-4C5F-A0C6-610EC1DEF51E}">
    <text>+ 62,202</text>
  </threadedComment>
  <threadedComment ref="E24" dT="2026-02-27T20:49:02.89" personId="{26135B57-CE44-4E06-A6A0-2C3758392D60}" id="{7BEB2C03-1EA1-4470-AE69-5CC9AD1726E4}">
    <text>Added deadhead for uni-directional commuter routes &gt; 20 mi</text>
  </threadedComment>
  <threadedComment ref="E24" dT="2026-02-27T20:49:22.23" personId="{26135B57-CE44-4E06-A6A0-2C3758392D60}" id="{D6B8C576-529A-49C3-9B1C-FEE678C3D88C}" parentId="{7BEB2C03-1EA1-4470-AE69-5CC9AD1726E4}">
    <text>+ 66,989</text>
  </threadedComment>
  <threadedComment ref="C26" dT="2024-02-12T18:19:34.15" personId="{47763035-7F4B-492D-943D-0AC8478C60E9}" id="{0BCC0D82-A58C-4633-8E8B-5CC19B7B87B6}">
    <text>Added deadhead for uni-directional commuter routes &gt; 20 mi</text>
  </threadedComment>
  <threadedComment ref="C26" dT="2024-02-12T18:19:46.97" personId="{47763035-7F4B-492D-943D-0AC8478C60E9}" id="{BFFF4B0C-A58C-4080-BEA6-236E2095E275}" parentId="{0BCC0D82-A58C-4633-8E8B-5CC19B7B87B6}">
    <text>+1,652</text>
  </threadedComment>
  <threadedComment ref="D26" dT="2025-02-06T19:07:55.89" personId="{47763035-7F4B-492D-943D-0AC8478C60E9}" id="{14934EF4-265F-4F3B-8348-6BCCC679F004}">
    <text>Added deadhead for uni-directional commuter routes &gt; 20 mi</text>
  </threadedComment>
  <threadedComment ref="D26" dT="2025-02-06T19:08:02.15" personId="{47763035-7F4B-492D-943D-0AC8478C60E9}" id="{2E5B7305-55E2-4091-A6ED-5C821A6ADB15}" parentId="{14934EF4-265F-4F3B-8348-6BCCC679F004}">
    <text>+2,457</text>
  </threadedComment>
  <threadedComment ref="E26" dT="2026-02-27T20:49:50.28" personId="{26135B57-CE44-4E06-A6A0-2C3758392D60}" id="{8B942C66-5A84-48B1-94A5-8630DAFB9941}">
    <text>Added deadhead for uni-directional commuter routes &gt; 20 mi</text>
  </threadedComment>
  <threadedComment ref="E26" dT="2026-02-27T20:53:42.37" personId="{26135B57-CE44-4E06-A6A0-2C3758392D60}" id="{BDB097BF-D891-4FA5-A923-6FA12C252131}" parentId="{8B942C66-5A84-48B1-94A5-8630DAFB9941}">
    <text>+ 646</text>
  </threadedComment>
  <threadedComment ref="B37" dT="2025-02-24T18:45:50.03" personId="{219E334E-AE50-4B81-9DCE-64E13525D414}" id="{659A4C90-0371-4182-81F5-36BEB527D22B}">
    <text>Removed paratransit from Jaunts figures for FY21-FY24.</text>
  </threadedComment>
  <threadedComment ref="C37" dT="2025-02-24T18:45:53.28" personId="{219E334E-AE50-4B81-9DCE-64E13525D414}" id="{F44012D5-3BD4-4BAB-B3CF-D130548E41B3}">
    <text>Removed paratransit from Jaunts figures for FY21-FY24.</text>
  </threadedComment>
  <threadedComment ref="D37" dT="2025-02-24T18:45:56.56" personId="{219E334E-AE50-4B81-9DCE-64E13525D414}" id="{F099F260-0560-4A38-94E0-3B656BE49EED}">
    <text>Removed paratransit from Jaunts figures for FY21-FY24.</text>
  </threadedComment>
  <threadedComment ref="C40" dT="2024-01-17T20:06:14.97" personId="{219E334E-AE50-4B81-9DCE-64E13525D414}" id="{3E979E27-75C4-4570-B349-530C911DEDD8}">
    <text>Combined VRT and NSVRC (ShenGo Demo) reported figures.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7" dT="2025-02-24T18:43:26.67" personId="{219E334E-AE50-4B81-9DCE-64E13525D414}" id="{36B59CE7-6EA7-4A4C-8C65-41A774D6247C}">
    <text>Added paratransit to CATs figures for FY21-FY24.</text>
  </threadedComment>
  <threadedComment ref="C7" dT="2025-02-24T18:43:34.26" personId="{219E334E-AE50-4B81-9DCE-64E13525D414}" id="{01AA1706-6211-4EC1-9B53-DC0D5257D0C6}">
    <text>Added paratransit to CATs figures for FY21-FY24.</text>
  </threadedComment>
  <threadedComment ref="D7" dT="2025-02-24T18:43:40.53" personId="{219E334E-AE50-4B81-9DCE-64E13525D414}" id="{8679D202-1F25-4F9E-8AF8-4978D6D3946D}">
    <text>Added paratransit to CATs figures for FY21-FY24.</text>
  </threadedComment>
  <threadedComment ref="D13" dT="2026-03-06T17:02:41.70" personId="{219E334E-AE50-4B81-9DCE-64E13525D414}" id="{9542FD89-06A6-4365-B2E8-6B836991A2FA}">
    <text>Adjusted 3/3/26 based on RY24 NTD reporting</text>
  </threadedComment>
  <threadedComment ref="B19" dT="2026-02-26T17:37:47.19" personId="{219E334E-AE50-4B81-9DCE-64E13525D414}" id="{57F4361C-DB2E-4816-9FDC-CBD6A027A4C4}">
    <text>Reduced Deadhead for Performance Metrics</text>
  </threadedComment>
  <threadedComment ref="C19" dT="2026-02-26T17:37:50.70" personId="{219E334E-AE50-4B81-9DCE-64E13525D414}" id="{667CCC38-3D80-48E6-8EE7-1C07F871B1EF}">
    <text>Reduced Deadhead for Performance Metrics</text>
  </threadedComment>
  <threadedComment ref="D19" dT="2026-02-26T17:37:54.57" personId="{219E334E-AE50-4B81-9DCE-64E13525D414}" id="{A7A65532-6867-47BA-B61E-8E4F5CCA185A}">
    <text>Reduced Deadhead for Performance Metrics</text>
  </threadedComment>
  <threadedComment ref="E19" dT="2026-03-02T13:49:51.01" personId="{219E334E-AE50-4B81-9DCE-64E13525D414}" id="{FD0C58DD-1080-490F-A1F1-B9C42CAF4E8D}">
    <text>Reduced Deadhead for Performance Metrics</text>
  </threadedComment>
  <threadedComment ref="B23" dT="2026-02-26T17:37:44.24" personId="{219E334E-AE50-4B81-9DCE-64E13525D414}" id="{526095B3-9EB1-4E4D-85D2-161749A9C6FC}">
    <text>Reduced Deadhead for Performance Metrics</text>
  </threadedComment>
  <threadedComment ref="B24" dT="2026-02-26T17:37:29.84" personId="{219E334E-AE50-4B81-9DCE-64E13525D414}" id="{ED891C40-F5A4-44FC-93E0-2C2119571A58}">
    <text>Reduced Deadhead for Performance Metrics</text>
  </threadedComment>
  <threadedComment ref="C24" dT="2026-02-26T17:37:34.32" personId="{219E334E-AE50-4B81-9DCE-64E13525D414}" id="{BB9CBB00-D506-44AF-A6AB-68070A8AC55B}">
    <text>Reduced Deadhead for Performance Metrics</text>
  </threadedComment>
  <threadedComment ref="D24" dT="2026-02-26T17:37:37.56" personId="{219E334E-AE50-4B81-9DCE-64E13525D414}" id="{AAFF671F-045C-4509-B170-D7D26A1F8AC5}">
    <text>Reduced Deadhead for Performance Metrics</text>
  </threadedComment>
  <threadedComment ref="E24" dT="2026-03-02T13:49:54.32" personId="{219E334E-AE50-4B81-9DCE-64E13525D414}" id="{869D37C6-E99D-4C50-982E-D51ACDAD24E3}">
    <text>Reduced Deadhead for Performance Metrics</text>
  </threadedComment>
  <threadedComment ref="C26" dT="2026-02-26T17:37:25.50" personId="{219E334E-AE50-4B81-9DCE-64E13525D414}" id="{A97E43FD-C0C5-4FAC-82E7-03C42C6BCE9C}">
    <text>Reduced Deadhead for Performance Metrics</text>
  </threadedComment>
  <threadedComment ref="D26" dT="2026-02-26T17:37:40.73" personId="{219E334E-AE50-4B81-9DCE-64E13525D414}" id="{D536238D-4FB7-4FD8-984A-ACF5B0ABDDEB}">
    <text>Reduced Deadhead for Performance Metrics</text>
  </threadedComment>
  <threadedComment ref="E26" dT="2026-03-02T13:49:57.72" personId="{219E334E-AE50-4B81-9DCE-64E13525D414}" id="{04C4D234-BEF8-4A51-ABC5-8154AA61AD4F}">
    <text>Reduced Deadhead for Performance Metrics</text>
  </threadedComment>
  <threadedComment ref="B37" dT="2025-02-24T18:46:05.78" personId="{219E334E-AE50-4B81-9DCE-64E13525D414}" id="{0A1D32ED-53D1-4D40-A597-88BBADB55E12}">
    <text>Removed paratransit from Jaunts figures for FY21-FY24.</text>
  </threadedComment>
  <threadedComment ref="C37" dT="2025-02-24T18:46:09.50" personId="{219E334E-AE50-4B81-9DCE-64E13525D414}" id="{B567F46C-6771-4AF7-9B67-0512FA3222E7}">
    <text>Removed paratransit from Jaunts figures for FY21-FY24.</text>
  </threadedComment>
  <threadedComment ref="D37" dT="2025-02-24T18:46:13.07" personId="{219E334E-AE50-4B81-9DCE-64E13525D414}" id="{15FF8BDB-F2EB-4480-9DEF-6C55D4CB3C02}">
    <text>Removed paratransit from Jaunts figures for FY21-FY24.</text>
  </threadedComment>
  <threadedComment ref="C40" dT="2024-01-17T20:06:07.84" personId="{219E334E-AE50-4B81-9DCE-64E13525D414}" id="{588EDEA2-7C53-4AC9-AB58-E3D29CF986AA}">
    <text>Combined VRT and NSVRC (ShenGo Demo) reported figures.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7" dT="2025-02-24T18:43:26.67" personId="{219E334E-AE50-4B81-9DCE-64E13525D414}" id="{AA156444-9B68-4DF9-AE0B-359B68D9A516}">
    <text>Added paratransit to CATs figures for FY21-FY24.</text>
  </threadedComment>
  <threadedComment ref="C7" dT="2025-02-24T18:43:34.26" personId="{219E334E-AE50-4B81-9DCE-64E13525D414}" id="{BC9C50B9-9D70-450D-8F3F-CD2E7D5DB5DF}">
    <text>Added paratransit to CATs figures for FY21-FY24.</text>
  </threadedComment>
  <threadedComment ref="D7" dT="2025-02-24T18:43:40.53" personId="{219E334E-AE50-4B81-9DCE-64E13525D414}" id="{85E228B9-BAEA-4B57-B485-059E54B1C691}">
    <text>Added paratransit to CATs figures for FY21-FY24.</text>
  </threadedComment>
  <threadedComment ref="D13" dT="2026-03-06T17:02:41.70" personId="{219E334E-AE50-4B81-9DCE-64E13525D414}" id="{8206DE07-C1CE-48A0-B220-4C3A0A4AD249}">
    <text>Adjusted 3/3/26 based on RY24 NTD reporting</text>
  </threadedComment>
  <threadedComment ref="B19" dT="2023-02-13T19:40:23.85" personId="{219E334E-AE50-4B81-9DCE-64E13525D414}" id="{4CFB3F2D-451A-455F-8F99-F95DB2E03592}">
    <text>Added deadhead for uni-directional commuter routes &gt;20</text>
  </threadedComment>
  <threadedComment ref="B19" dT="2023-02-13T19:40:57.02" personId="{219E334E-AE50-4B81-9DCE-64E13525D414}" id="{E7EB28EB-2C35-4D68-A24E-C697ECFEE2B7}" parentId="{4CFB3F2D-451A-455F-8F99-F95DB2E03592}">
    <text>+427962.5</text>
  </threadedComment>
  <threadedComment ref="C19" dT="2024-02-05T15:36:08.54" personId="{47763035-7F4B-492D-943D-0AC8478C60E9}" id="{D863D709-1B89-4A56-B715-39539AD901BC}">
    <text>Added deadhead for uni-directional commuter routes &gt; 20 mi</text>
  </threadedComment>
  <threadedComment ref="C19" dT="2024-02-05T15:36:32.01" personId="{47763035-7F4B-492D-943D-0AC8478C60E9}" id="{161CDC89-5D99-4DBA-9B9B-C5DCD8395F6A}" parentId="{D863D709-1B89-4A56-B715-39539AD901BC}">
    <text>+ 501,367</text>
  </threadedComment>
  <threadedComment ref="D19" dT="2025-02-12T15:30:27.90" personId="{47763035-7F4B-492D-943D-0AC8478C60E9}" id="{925C265C-A6CA-4A8D-ACBC-FD68FBDDE54B}">
    <text>Added deadhead for uni-directional commuter routes &gt; 20 mi</text>
  </threadedComment>
  <threadedComment ref="D19" dT="2025-02-12T15:30:39.72" personId="{47763035-7F4B-492D-943D-0AC8478C60E9}" id="{DEF02DFA-ADB3-420A-93A7-89E7F20F2E89}" parentId="{925C265C-A6CA-4A8D-ACBC-FD68FBDDE54B}">
    <text xml:space="preserve">+ 587,607 </text>
  </threadedComment>
  <threadedComment ref="E19" dT="2026-02-27T20:57:24.58" personId="{26135B57-CE44-4E06-A6A0-2C3758392D60}" id="{A8D1CA64-7D68-4DFD-B2A5-F366F4BB268C}">
    <text>Added deadhead for uni-directional commuter routes &gt; 20 mi</text>
  </threadedComment>
  <threadedComment ref="E19" dT="2026-02-27T20:57:39.11" personId="{26135B57-CE44-4E06-A6A0-2C3758392D60}" id="{68857170-5B5B-4E5D-8175-096DFABE0ADD}" parentId="{A8D1CA64-7D68-4DFD-B2A5-F366F4BB268C}">
    <text>+ 544,235</text>
  </threadedComment>
  <threadedComment ref="B23" dT="2023-02-09T19:57:18.06" personId="{219E334E-AE50-4B81-9DCE-64E13525D414}" id="{1813ED45-1CEA-4FCC-AFF3-052C0119B887}">
    <text>Added deadhead for uni-directional commuter routes &gt;20</text>
  </threadedComment>
  <threadedComment ref="B23" dT="2023-02-09T19:58:47.69" personId="{219E334E-AE50-4B81-9DCE-64E13525D414}" id="{09683B2C-92B0-4DEB-9D26-AB17AD0F504B}" parentId="{1813ED45-1CEA-4FCC-AFF3-052C0119B887}">
    <text>+85,445</text>
  </threadedComment>
  <threadedComment ref="B24" dT="2023-02-09T20:00:32.50" personId="{219E334E-AE50-4B81-9DCE-64E13525D414}" id="{9FFF7210-EA95-4B01-BDC2-DB6DB9E6DC27}">
    <text>Added deadhead for uni-directional communter routes &gt;20mi</text>
  </threadedComment>
  <threadedComment ref="B24" dT="2023-02-09T20:00:39.23" personId="{219E334E-AE50-4B81-9DCE-64E13525D414}" id="{90710258-E1CC-4979-AF1A-C93B854B3650}" parentId="{9FFF7210-EA95-4B01-BDC2-DB6DB9E6DC27}">
    <text>+1,905,553</text>
  </threadedComment>
  <threadedComment ref="C24" dT="2024-02-05T15:36:12.74" personId="{47763035-7F4B-492D-943D-0AC8478C60E9}" id="{38C7C36D-1BE6-4BF0-A954-67599771BF83}">
    <text>Added deadhead for uni-directional commuter routes &gt; 20 mi</text>
  </threadedComment>
  <threadedComment ref="C24" dT="2024-02-05T15:37:05.02" personId="{47763035-7F4B-492D-943D-0AC8478C60E9}" id="{190579E3-866D-4465-8D28-61DA3F189C08}" parentId="{38C7C36D-1BE6-4BF0-A954-67599771BF83}">
    <text>+1,784,701</text>
  </threadedComment>
  <threadedComment ref="D24" dT="2025-02-06T19:09:09.87" personId="{47763035-7F4B-492D-943D-0AC8478C60E9}" id="{7725B155-FFB7-40C8-B4C9-FD188E3DF762}">
    <text>Added deadhead for uni-directional commuter routes &gt; 20 mi</text>
  </threadedComment>
  <threadedComment ref="D24" dT="2025-02-06T19:09:30.69" personId="{47763035-7F4B-492D-943D-0AC8478C60E9}" id="{D150A299-C151-40E9-A82C-48FFD78F0356}" parentId="{7725B155-FFB7-40C8-B4C9-FD188E3DF762}">
    <text>+ 1,922,948</text>
  </threadedComment>
  <threadedComment ref="E24" dT="2026-02-27T20:50:44.22" personId="{26135B57-CE44-4E06-A6A0-2C3758392D60}" id="{23333B26-4EF1-4475-BA88-4F873232CA6F}">
    <text>Added deadhead for uni-directional commuter routes &gt; 20 mi</text>
  </threadedComment>
  <threadedComment ref="E24" dT="2026-03-02T13:48:13.42" personId="{219E334E-AE50-4B81-9DCE-64E13525D414}" id="{95111EE2-2BF2-484B-AD0D-A4A045EDE642}" parentId="{23333B26-4EF1-4475-BA88-4F873232CA6F}">
    <text>+2,078,432</text>
  </threadedComment>
  <threadedComment ref="C26" dT="2024-02-09T21:25:51.08" personId="{47763035-7F4B-492D-943D-0AC8478C60E9}" id="{AF663CEF-F051-4A7E-94F9-75328E24E595}">
    <text>Added deadhead for uni-directional commuter routes &gt; 20 mi</text>
  </threadedComment>
  <threadedComment ref="C26" dT="2024-02-09T21:26:05.31" personId="{47763035-7F4B-492D-943D-0AC8478C60E9}" id="{693749A9-79AF-4368-9B24-C3E36E6E8323}" parentId="{AF663CEF-F051-4A7E-94F9-75328E24E595}">
    <text xml:space="preserve">+34,410 </text>
  </threadedComment>
  <threadedComment ref="D26" dT="2025-02-06T19:09:17.87" personId="{47763035-7F4B-492D-943D-0AC8478C60E9}" id="{2FEA4CF8-A9FD-492C-B8E2-84C9FD882180}">
    <text>Added deadhead for uni-directional commuter routes &gt; 20 mi</text>
  </threadedComment>
  <threadedComment ref="D26" dT="2025-02-06T19:10:06.59" personId="{47763035-7F4B-492D-943D-0AC8478C60E9}" id="{C7C82AF7-323D-46B3-AF3B-19397ACEC9C5}" parentId="{2FEA4CF8-A9FD-492C-B8E2-84C9FD882180}">
    <text>+60,554</text>
  </threadedComment>
  <threadedComment ref="E26" dT="2026-02-27T20:54:36.46" personId="{26135B57-CE44-4E06-A6A0-2C3758392D60}" id="{98A0A1CE-21BE-4FBE-82AA-BCCCF29BE99A}">
    <text xml:space="preserve">Added deadhead for uni-directional commuter routes &gt; 20 mi
</text>
  </threadedComment>
  <threadedComment ref="E26" dT="2026-02-27T20:54:51.46" personId="{26135B57-CE44-4E06-A6A0-2C3758392D60}" id="{9800349B-9C5D-4F18-8D5A-FCFD29D29132}" parentId="{98A0A1CE-21BE-4FBE-82AA-BCCCF29BE99A}">
    <text>+ 11,322</text>
  </threadedComment>
  <threadedComment ref="B37" dT="2025-02-24T18:46:05.78" personId="{219E334E-AE50-4B81-9DCE-64E13525D414}" id="{E7E67C51-8ED5-4C3B-A82C-CA59648B5914}">
    <text>Removed paratransit from Jaunts figures for FY21-FY24.</text>
  </threadedComment>
  <threadedComment ref="C37" dT="2025-02-24T18:46:09.50" personId="{219E334E-AE50-4B81-9DCE-64E13525D414}" id="{B71C3FD2-805D-44DF-BDB9-1DF8B83F3BC3}">
    <text>Removed paratransit from Jaunts figures for FY21-FY24.</text>
  </threadedComment>
  <threadedComment ref="D37" dT="2025-02-24T18:46:13.07" personId="{219E334E-AE50-4B81-9DCE-64E13525D414}" id="{9264214D-2FDB-43DE-92BD-94675889E783}">
    <text>Removed paratransit from Jaunts figures for FY21-FY24.</text>
  </threadedComment>
  <threadedComment ref="C40" dT="2024-01-17T20:06:07.84" personId="{219E334E-AE50-4B81-9DCE-64E13525D414}" id="{D35B512E-5B89-464C-B1B2-A2BC4C2EFD7B}">
    <text>Combined VRT and NSVRC (ShenGo Demo) reported figures.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B7" dT="2025-03-06T21:36:48.54" personId="{57DCBE11-4CAB-4DDA-AF5D-25BAA0F5CE29}" id="{1D5860C3-C898-4661-AD6C-AE71019F34DD}">
    <text>Revised 3/6/2025.  Includes Jaunt Urban.</text>
  </threadedComment>
  <threadedComment ref="C7" dT="2025-03-06T21:37:06.79" personId="{57DCBE11-4CAB-4DDA-AF5D-25BAA0F5CE29}" id="{05D90CC7-A741-4918-A355-094F68730A63}">
    <text>Revised 3/6/2025. Includes Jaunt Urban.</text>
  </threadedComment>
  <threadedComment ref="B37" dT="2025-03-06T21:38:03.89" personId="{57DCBE11-4CAB-4DDA-AF5D-25BAA0F5CE29}" id="{DBD12ACC-4628-4E06-A5D0-AA70AB547931}">
    <text>Revised 3/6/2025.  Removes JAUNT Urban.</text>
  </threadedComment>
  <threadedComment ref="C37" dT="2025-03-06T21:38:23.23" personId="{57DCBE11-4CAB-4DDA-AF5D-25BAA0F5CE29}" id="{20AEF51C-3D49-460D-9317-E9621B22F3A8}">
    <text>Revised 3/6/2025.  Removes JAUNT Urban.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1728-F9A8-4C7C-A52E-43BB5889DAE2}">
  <sheetPr>
    <tabColor rgb="FF7030A0"/>
    <pageSetUpPr fitToPage="1"/>
  </sheetPr>
  <dimension ref="A1:E55"/>
  <sheetViews>
    <sheetView zoomScale="80" zoomScaleNormal="80" workbookViewId="0">
      <selection activeCell="C14" sqref="C14"/>
    </sheetView>
  </sheetViews>
  <sheetFormatPr defaultRowHeight="12.5"/>
  <cols>
    <col min="2" max="2" width="45" customWidth="1"/>
    <col min="3" max="5" width="20.81640625" customWidth="1"/>
  </cols>
  <sheetData>
    <row r="1" spans="1:5" ht="13">
      <c r="A1" s="287" t="s">
        <v>207</v>
      </c>
    </row>
    <row r="2" spans="1:5" ht="15.5">
      <c r="A2" s="286" t="s">
        <v>205</v>
      </c>
    </row>
    <row r="3" spans="1:5" ht="13">
      <c r="A3" s="288" t="s">
        <v>211</v>
      </c>
    </row>
    <row r="4" spans="1:5" ht="15.5">
      <c r="A4" s="286"/>
    </row>
    <row r="5" spans="1:5" ht="13.5" customHeight="1">
      <c r="A5" s="286"/>
      <c r="B5" s="289" t="s">
        <v>212</v>
      </c>
      <c r="C5" s="290">
        <v>138800188</v>
      </c>
    </row>
    <row r="6" spans="1:5" ht="13.5" customHeight="1">
      <c r="A6" s="286"/>
      <c r="B6" s="237"/>
    </row>
    <row r="7" spans="1:5" ht="13.5" customHeight="1">
      <c r="A7" s="287" t="s">
        <v>222</v>
      </c>
    </row>
    <row r="8" spans="1:5" ht="13.5" customHeight="1">
      <c r="A8" s="237"/>
      <c r="B8" s="287"/>
      <c r="C8" s="287" t="s">
        <v>216</v>
      </c>
      <c r="D8" s="287" t="s">
        <v>215</v>
      </c>
      <c r="E8" s="287" t="s">
        <v>214</v>
      </c>
    </row>
    <row r="9" spans="1:5" ht="13.5" customHeight="1">
      <c r="B9" s="291" t="s">
        <v>219</v>
      </c>
      <c r="C9" s="292">
        <v>0.81</v>
      </c>
      <c r="D9" s="292">
        <v>0.12</v>
      </c>
      <c r="E9" s="292">
        <v>7.0000000000000007E-2</v>
      </c>
    </row>
    <row r="10" spans="1:5" ht="13.5" customHeight="1">
      <c r="B10" s="291" t="s">
        <v>192</v>
      </c>
      <c r="C10" s="292">
        <v>0.05</v>
      </c>
      <c r="D10" s="292">
        <v>0.05</v>
      </c>
      <c r="E10" s="292">
        <v>0.05</v>
      </c>
    </row>
    <row r="11" spans="1:5" ht="13.5" customHeight="1">
      <c r="B11" s="291" t="s">
        <v>220</v>
      </c>
      <c r="C11" s="293">
        <f>C5*C9*C10</f>
        <v>5621407.6140000001</v>
      </c>
      <c r="D11" s="293">
        <f>C5*D9*D10</f>
        <v>832801.12800000003</v>
      </c>
      <c r="E11" s="293">
        <f>C5*E9*E10</f>
        <v>485800.65800000005</v>
      </c>
    </row>
    <row r="12" spans="1:5" ht="13.5" customHeight="1">
      <c r="B12" s="294" t="s">
        <v>221</v>
      </c>
      <c r="C12" s="295">
        <f>C5*C9*(1-C10)</f>
        <v>106806744.66599999</v>
      </c>
      <c r="D12" s="295">
        <f>C5*D9*(1-D10)</f>
        <v>15823221.431999998</v>
      </c>
      <c r="E12" s="295">
        <f>C5*E9*(1-E10)</f>
        <v>9230212.5020000003</v>
      </c>
    </row>
    <row r="13" spans="1:5" ht="13.5" customHeight="1"/>
    <row r="14" spans="1:5" ht="13.5" customHeight="1">
      <c r="A14" s="287" t="s">
        <v>223</v>
      </c>
    </row>
    <row r="15" spans="1:5" ht="13.5" customHeight="1"/>
    <row r="16" spans="1:5" ht="13.5" customHeight="1">
      <c r="B16" s="296" t="s">
        <v>130</v>
      </c>
      <c r="C16" s="296" t="s">
        <v>213</v>
      </c>
    </row>
    <row r="17" spans="2:3" ht="13.5" customHeight="1">
      <c r="B17" s="297" t="s">
        <v>75</v>
      </c>
      <c r="C17" s="298" t="s">
        <v>214</v>
      </c>
    </row>
    <row r="18" spans="2:3" ht="13.5" customHeight="1">
      <c r="B18" s="299" t="s">
        <v>116</v>
      </c>
      <c r="C18" s="300" t="s">
        <v>214</v>
      </c>
    </row>
    <row r="19" spans="2:3" ht="13.5" customHeight="1">
      <c r="B19" s="297" t="s">
        <v>112</v>
      </c>
      <c r="C19" s="298" t="s">
        <v>215</v>
      </c>
    </row>
    <row r="20" spans="2:3" ht="13.5" customHeight="1">
      <c r="B20" s="299" t="s">
        <v>81</v>
      </c>
      <c r="C20" s="300" t="s">
        <v>215</v>
      </c>
    </row>
    <row r="21" spans="2:3" ht="13.5" customHeight="1">
      <c r="B21" s="297" t="s">
        <v>76</v>
      </c>
      <c r="C21" s="298" t="s">
        <v>215</v>
      </c>
    </row>
    <row r="22" spans="2:3" ht="13.5" customHeight="1">
      <c r="B22" s="299" t="s">
        <v>113</v>
      </c>
      <c r="C22" s="300" t="s">
        <v>215</v>
      </c>
    </row>
    <row r="23" spans="2:3" ht="13.5" customHeight="1">
      <c r="B23" s="297" t="s">
        <v>104</v>
      </c>
      <c r="C23" s="298" t="s">
        <v>216</v>
      </c>
    </row>
    <row r="24" spans="2:3" ht="13.5" customHeight="1">
      <c r="B24" s="299" t="s">
        <v>108</v>
      </c>
      <c r="C24" s="300" t="s">
        <v>214</v>
      </c>
    </row>
    <row r="25" spans="2:3" ht="13.5" customHeight="1">
      <c r="B25" s="297" t="s">
        <v>85</v>
      </c>
      <c r="C25" s="298" t="s">
        <v>214</v>
      </c>
    </row>
    <row r="26" spans="2:3" ht="13.5" customHeight="1">
      <c r="B26" s="299" t="s">
        <v>114</v>
      </c>
      <c r="C26" s="300" t="s">
        <v>215</v>
      </c>
    </row>
    <row r="27" spans="2:3" ht="13.5" customHeight="1">
      <c r="B27" s="297" t="s">
        <v>165</v>
      </c>
      <c r="C27" s="298" t="s">
        <v>216</v>
      </c>
    </row>
    <row r="28" spans="2:3" ht="13.5" customHeight="1">
      <c r="B28" s="299" t="s">
        <v>92</v>
      </c>
      <c r="C28" s="300" t="s">
        <v>214</v>
      </c>
    </row>
    <row r="29" spans="2:3" ht="13.5" customHeight="1">
      <c r="B29" s="297" t="s">
        <v>77</v>
      </c>
      <c r="C29" s="298" t="s">
        <v>214</v>
      </c>
    </row>
    <row r="30" spans="2:3" ht="13.5" customHeight="1">
      <c r="B30" s="299" t="s">
        <v>93</v>
      </c>
      <c r="C30" s="300" t="s">
        <v>214</v>
      </c>
    </row>
    <row r="31" spans="2:3" ht="13.5" customHeight="1">
      <c r="B31" s="297" t="s">
        <v>166</v>
      </c>
      <c r="C31" s="298" t="s">
        <v>215</v>
      </c>
    </row>
    <row r="32" spans="2:3" ht="13.5" customHeight="1">
      <c r="B32" s="299" t="s">
        <v>94</v>
      </c>
      <c r="C32" s="300" t="s">
        <v>215</v>
      </c>
    </row>
    <row r="33" spans="2:3" ht="13.5" customHeight="1">
      <c r="B33" s="297" t="s">
        <v>105</v>
      </c>
      <c r="C33" s="298" t="s">
        <v>216</v>
      </c>
    </row>
    <row r="34" spans="2:3" ht="13.5" customHeight="1">
      <c r="B34" s="299" t="s">
        <v>109</v>
      </c>
      <c r="C34" s="300" t="s">
        <v>216</v>
      </c>
    </row>
    <row r="35" spans="2:3" ht="13.5" customHeight="1">
      <c r="B35" s="297" t="s">
        <v>86</v>
      </c>
      <c r="C35" s="298" t="s">
        <v>214</v>
      </c>
    </row>
    <row r="36" spans="2:3" ht="13.5" customHeight="1">
      <c r="B36" s="299" t="s">
        <v>87</v>
      </c>
      <c r="C36" s="300" t="s">
        <v>216</v>
      </c>
    </row>
    <row r="37" spans="2:3" ht="13.5" customHeight="1">
      <c r="B37" s="297" t="s">
        <v>167</v>
      </c>
      <c r="C37" s="298" t="s">
        <v>214</v>
      </c>
    </row>
    <row r="38" spans="2:3" ht="13.5" customHeight="1">
      <c r="B38" s="299" t="s">
        <v>168</v>
      </c>
      <c r="C38" s="300" t="s">
        <v>214</v>
      </c>
    </row>
    <row r="39" spans="2:3" ht="13.5" customHeight="1">
      <c r="B39" s="297" t="s">
        <v>78</v>
      </c>
      <c r="C39" s="298" t="s">
        <v>214</v>
      </c>
    </row>
    <row r="40" spans="2:3" ht="13.5" customHeight="1">
      <c r="B40" s="299" t="s">
        <v>98</v>
      </c>
      <c r="C40" s="300" t="s">
        <v>216</v>
      </c>
    </row>
    <row r="41" spans="2:3" ht="13.5" customHeight="1">
      <c r="B41" s="297" t="s">
        <v>99</v>
      </c>
      <c r="C41" s="298" t="s">
        <v>216</v>
      </c>
    </row>
    <row r="42" spans="2:3" ht="13.5" customHeight="1">
      <c r="B42" s="299" t="s">
        <v>100</v>
      </c>
      <c r="C42" s="300" t="s">
        <v>216</v>
      </c>
    </row>
    <row r="43" spans="2:3" ht="13.5" customHeight="1">
      <c r="B43" s="297" t="s">
        <v>101</v>
      </c>
      <c r="C43" s="298" t="s">
        <v>216</v>
      </c>
    </row>
    <row r="44" spans="2:3" ht="13.5" customHeight="1">
      <c r="B44" s="299" t="s">
        <v>102</v>
      </c>
      <c r="C44" s="300" t="s">
        <v>216</v>
      </c>
    </row>
    <row r="45" spans="2:3" ht="16">
      <c r="B45" s="297" t="s">
        <v>110</v>
      </c>
      <c r="C45" s="298" t="s">
        <v>214</v>
      </c>
    </row>
    <row r="46" spans="2:3" ht="16">
      <c r="B46" s="299" t="s">
        <v>169</v>
      </c>
      <c r="C46" s="300" t="s">
        <v>214</v>
      </c>
    </row>
    <row r="47" spans="2:3" ht="16">
      <c r="B47" s="297" t="s">
        <v>88</v>
      </c>
      <c r="C47" s="298" t="s">
        <v>214</v>
      </c>
    </row>
    <row r="48" spans="2:3" ht="16">
      <c r="B48" s="299" t="s">
        <v>95</v>
      </c>
      <c r="C48" s="300" t="s">
        <v>214</v>
      </c>
    </row>
    <row r="49" spans="2:3" ht="16">
      <c r="B49" s="297" t="s">
        <v>173</v>
      </c>
      <c r="C49" s="298" t="s">
        <v>214</v>
      </c>
    </row>
    <row r="50" spans="2:3" ht="16">
      <c r="B50" s="299" t="s">
        <v>170</v>
      </c>
      <c r="C50" s="300" t="s">
        <v>215</v>
      </c>
    </row>
    <row r="51" spans="2:3" ht="16">
      <c r="B51" s="297" t="s">
        <v>171</v>
      </c>
      <c r="C51" s="298" t="s">
        <v>214</v>
      </c>
    </row>
    <row r="52" spans="2:3" ht="16">
      <c r="B52" s="299" t="s">
        <v>79</v>
      </c>
      <c r="C52" s="300" t="s">
        <v>214</v>
      </c>
    </row>
    <row r="53" spans="2:3" ht="16">
      <c r="B53" s="297" t="s">
        <v>89</v>
      </c>
      <c r="C53" s="298" t="s">
        <v>214</v>
      </c>
    </row>
    <row r="54" spans="2:3" ht="16">
      <c r="B54" s="299" t="s">
        <v>172</v>
      </c>
      <c r="C54" s="300" t="s">
        <v>214</v>
      </c>
    </row>
    <row r="55" spans="2:3" ht="16">
      <c r="B55" s="301" t="s">
        <v>90</v>
      </c>
      <c r="C55" s="302" t="s">
        <v>215</v>
      </c>
    </row>
  </sheetData>
  <sheetProtection algorithmName="SHA-512" hashValue="n8OK54tnbC9rPshzeuzL2uJFemL0N1fVrUFmMNipUh10eqQLCxE2fGxgGDHcxnL6pU4zPZqpWoW11mBXXmCYVg==" saltValue="H2NXeZeDjE/SfuGcmBl8/A==" spinCount="100000" sheet="1" objects="1" scenarios="1"/>
  <conditionalFormatting sqref="C17:C55">
    <cfRule type="cellIs" dxfId="34" priority="1" operator="equal">
      <formula>"large urban"</formula>
    </cfRule>
    <cfRule type="cellIs" dxfId="33" priority="2" operator="equal">
      <formula>"Small Urban"</formula>
    </cfRule>
    <cfRule type="cellIs" dxfId="32" priority="3" operator="equal">
      <formula>"Rural"</formula>
    </cfRule>
  </conditionalFormatting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7879-F815-4499-9F61-7E911BE0DACB}">
  <sheetPr>
    <pageSetUpPr fitToPage="1"/>
  </sheetPr>
  <dimension ref="A1:M42"/>
  <sheetViews>
    <sheetView topLeftCell="A3" zoomScaleNormal="100" workbookViewId="0">
      <selection activeCell="A3" sqref="A1:L1048576"/>
    </sheetView>
  </sheetViews>
  <sheetFormatPr defaultColWidth="9.26953125" defaultRowHeight="16"/>
  <cols>
    <col min="1" max="1" width="48" style="23" bestFit="1" customWidth="1"/>
    <col min="2" max="4" width="23.26953125" style="24" bestFit="1" customWidth="1"/>
    <col min="5" max="5" width="23.26953125" style="23" bestFit="1" customWidth="1"/>
    <col min="6" max="6" width="21.81640625" style="23" bestFit="1" customWidth="1"/>
    <col min="7" max="7" width="16.453125" style="23" bestFit="1" customWidth="1"/>
    <col min="8" max="8" width="23.81640625" style="165" bestFit="1" customWidth="1"/>
    <col min="9" max="9" width="16.7265625" style="165" customWidth="1"/>
    <col min="10" max="10" width="9.26953125" style="23"/>
    <col min="11" max="12" width="11.453125" style="23" customWidth="1"/>
    <col min="13" max="16384" width="9.26953125" style="23"/>
  </cols>
  <sheetData>
    <row r="1" spans="1:12">
      <c r="A1" s="231" t="s">
        <v>124</v>
      </c>
      <c r="B1" s="232" t="s">
        <v>152</v>
      </c>
      <c r="C1" s="232" t="s">
        <v>153</v>
      </c>
      <c r="D1" s="232" t="s">
        <v>154</v>
      </c>
      <c r="E1" s="232" t="s">
        <v>155</v>
      </c>
      <c r="F1" s="214" t="s">
        <v>14</v>
      </c>
      <c r="G1" s="215" t="s">
        <v>142</v>
      </c>
      <c r="H1" s="215" t="s">
        <v>143</v>
      </c>
      <c r="I1" s="269" t="s">
        <v>195</v>
      </c>
      <c r="K1" s="203" t="s">
        <v>163</v>
      </c>
      <c r="L1" s="203" t="s">
        <v>162</v>
      </c>
    </row>
    <row r="2" spans="1:12" s="19" customFormat="1">
      <c r="A2" s="208" t="s">
        <v>75</v>
      </c>
      <c r="B2" s="225">
        <v>634178</v>
      </c>
      <c r="C2" s="225">
        <v>692104</v>
      </c>
      <c r="D2" s="225">
        <v>650766</v>
      </c>
      <c r="E2" s="211">
        <v>563585</v>
      </c>
      <c r="F2" s="201" t="s">
        <v>74</v>
      </c>
      <c r="G2">
        <v>1</v>
      </c>
      <c r="H2">
        <v>1</v>
      </c>
      <c r="I2" s="268">
        <f>AVERAGE(VRMsizing[[#This Row],[FY23 Revenue Miles]:[FY25 Revenue Miles]])</f>
        <v>635485</v>
      </c>
      <c r="K2" s="235">
        <f>VRMsizing[[#This Row],[FY25 Revenue Miles]]-VRMsizing[[#This Row],[FY24 Revenue Miles]]</f>
        <v>-87181</v>
      </c>
      <c r="L2" s="236">
        <f>K2/VRMsizing[[#This Row],[FY24 Revenue Miles]]</f>
        <v>-0.13396674073322823</v>
      </c>
    </row>
    <row r="3" spans="1:12" s="19" customFormat="1">
      <c r="A3" s="208" t="s">
        <v>76</v>
      </c>
      <c r="B3" s="210">
        <v>84107</v>
      </c>
      <c r="C3" s="210">
        <v>94333</v>
      </c>
      <c r="D3" s="210">
        <v>91473</v>
      </c>
      <c r="E3" s="211">
        <v>90570</v>
      </c>
      <c r="F3" s="201" t="s">
        <v>74</v>
      </c>
      <c r="G3">
        <v>2</v>
      </c>
      <c r="H3">
        <v>5</v>
      </c>
      <c r="I3" s="268">
        <f>AVERAGE(VRMsizing[[#This Row],[FY23 Revenue Miles]:[FY25 Revenue Miles]])</f>
        <v>92125.333333333328</v>
      </c>
      <c r="K3" s="235">
        <f>VRMsizing[[#This Row],[FY25 Revenue Miles]]-VRMsizing[[#This Row],[FY24 Revenue Miles]]</f>
        <v>-903</v>
      </c>
      <c r="L3" s="236">
        <f>K3/VRMsizing[[#This Row],[FY24 Revenue Miles]]</f>
        <v>-9.8717654389819942E-3</v>
      </c>
    </row>
    <row r="4" spans="1:12" s="19" customFormat="1">
      <c r="A4" s="208" t="s">
        <v>77</v>
      </c>
      <c r="B4" s="211">
        <v>440288</v>
      </c>
      <c r="C4" s="211">
        <v>490148</v>
      </c>
      <c r="D4" s="211">
        <v>522054</v>
      </c>
      <c r="E4" s="211">
        <v>474357</v>
      </c>
      <c r="F4" s="201" t="s">
        <v>74</v>
      </c>
      <c r="G4">
        <v>3</v>
      </c>
      <c r="H4">
        <v>13</v>
      </c>
      <c r="I4" s="268">
        <f>AVERAGE(VRMsizing[[#This Row],[FY23 Revenue Miles]:[FY25 Revenue Miles]])</f>
        <v>495519.66666666669</v>
      </c>
      <c r="K4" s="235">
        <f>VRMsizing[[#This Row],[FY25 Revenue Miles]]-VRMsizing[[#This Row],[FY24 Revenue Miles]]</f>
        <v>-47697</v>
      </c>
      <c r="L4" s="236">
        <f>K4/VRMsizing[[#This Row],[FY24 Revenue Miles]]</f>
        <v>-9.1364111758553718E-2</v>
      </c>
    </row>
    <row r="5" spans="1:12" s="19" customFormat="1">
      <c r="A5" s="208" t="s">
        <v>78</v>
      </c>
      <c r="B5" s="211">
        <v>639628</v>
      </c>
      <c r="C5" s="211">
        <v>800372</v>
      </c>
      <c r="D5" s="211">
        <v>745438</v>
      </c>
      <c r="E5" s="211">
        <v>726302</v>
      </c>
      <c r="F5" s="201" t="s">
        <v>74</v>
      </c>
      <c r="G5">
        <v>4</v>
      </c>
      <c r="H5">
        <v>23</v>
      </c>
      <c r="I5" s="268">
        <f>AVERAGE(VRMsizing[[#This Row],[FY23 Revenue Miles]:[FY25 Revenue Miles]])</f>
        <v>757370.66666666663</v>
      </c>
      <c r="K5" s="235">
        <f>VRMsizing[[#This Row],[FY25 Revenue Miles]]-VRMsizing[[#This Row],[FY24 Revenue Miles]]</f>
        <v>-19136</v>
      </c>
      <c r="L5" s="236">
        <f>K5/VRMsizing[[#This Row],[FY24 Revenue Miles]]</f>
        <v>-2.5670813669279001E-2</v>
      </c>
    </row>
    <row r="6" spans="1:12" s="19" customFormat="1">
      <c r="A6" s="208" t="s">
        <v>79</v>
      </c>
      <c r="B6" s="211">
        <v>129480</v>
      </c>
      <c r="C6" s="211">
        <v>132943</v>
      </c>
      <c r="D6" s="211">
        <v>126970</v>
      </c>
      <c r="E6" s="211">
        <v>124910</v>
      </c>
      <c r="F6" s="201" t="s">
        <v>74</v>
      </c>
      <c r="G6">
        <v>5</v>
      </c>
      <c r="H6">
        <v>36</v>
      </c>
      <c r="I6" s="268">
        <f>AVERAGE(VRMsizing[[#This Row],[FY23 Revenue Miles]:[FY25 Revenue Miles]])</f>
        <v>128274.33333333333</v>
      </c>
      <c r="K6" s="235">
        <f>VRMsizing[[#This Row],[FY25 Revenue Miles]]-VRMsizing[[#This Row],[FY24 Revenue Miles]]</f>
        <v>-2060</v>
      </c>
      <c r="L6" s="236">
        <f>K6/VRMsizing[[#This Row],[FY24 Revenue Miles]]</f>
        <v>-1.6224304953926124E-2</v>
      </c>
    </row>
    <row r="7" spans="1:12" s="19" customFormat="1">
      <c r="A7" s="208" t="s">
        <v>81</v>
      </c>
      <c r="B7" s="226">
        <v>1184761</v>
      </c>
      <c r="C7" s="226">
        <v>1242786</v>
      </c>
      <c r="D7" s="226">
        <v>1380275</v>
      </c>
      <c r="E7" s="211">
        <v>1616127</v>
      </c>
      <c r="F7" s="201" t="s">
        <v>80</v>
      </c>
      <c r="G7">
        <v>6</v>
      </c>
      <c r="H7">
        <v>4</v>
      </c>
      <c r="I7" s="268">
        <f>AVERAGE(VRMsizing[[#This Row],[FY23 Revenue Miles]:[FY25 Revenue Miles]])</f>
        <v>1413062.6666666667</v>
      </c>
      <c r="K7" s="235">
        <f>VRMsizing[[#This Row],[FY25 Revenue Miles]]-VRMsizing[[#This Row],[FY24 Revenue Miles]]</f>
        <v>235852</v>
      </c>
      <c r="L7" s="236">
        <f>K7/VRMsizing[[#This Row],[FY24 Revenue Miles]]</f>
        <v>0.17087319555885602</v>
      </c>
    </row>
    <row r="8" spans="1:12" s="19" customFormat="1">
      <c r="A8" s="208" t="s">
        <v>166</v>
      </c>
      <c r="B8" s="211">
        <v>598250</v>
      </c>
      <c r="C8" s="211">
        <v>548622</v>
      </c>
      <c r="D8" s="211">
        <v>554895</v>
      </c>
      <c r="E8" s="211">
        <v>532870</v>
      </c>
      <c r="F8" s="201" t="s">
        <v>82</v>
      </c>
      <c r="G8">
        <v>7</v>
      </c>
      <c r="H8">
        <v>15</v>
      </c>
      <c r="I8" s="268">
        <f>AVERAGE(VRMsizing[[#This Row],[FY23 Revenue Miles]:[FY25 Revenue Miles]])</f>
        <v>545462.33333333337</v>
      </c>
      <c r="K8" s="235">
        <f>VRMsizing[[#This Row],[FY25 Revenue Miles]]-VRMsizing[[#This Row],[FY24 Revenue Miles]]</f>
        <v>-22025</v>
      </c>
      <c r="L8" s="236">
        <f>K8/VRMsizing[[#This Row],[FY24 Revenue Miles]]</f>
        <v>-3.9692194018688218E-2</v>
      </c>
    </row>
    <row r="9" spans="1:12" s="19" customFormat="1">
      <c r="A9" s="208" t="s">
        <v>85</v>
      </c>
      <c r="B9" s="210">
        <v>415022</v>
      </c>
      <c r="C9" s="210">
        <v>442128</v>
      </c>
      <c r="D9" s="210">
        <v>463883</v>
      </c>
      <c r="E9" s="211">
        <v>470169</v>
      </c>
      <c r="F9" s="201" t="s">
        <v>84</v>
      </c>
      <c r="G9">
        <v>8</v>
      </c>
      <c r="H9">
        <v>9</v>
      </c>
      <c r="I9" s="268">
        <f>AVERAGE(VRMsizing[[#This Row],[FY23 Revenue Miles]:[FY25 Revenue Miles]])</f>
        <v>458726.66666666669</v>
      </c>
      <c r="K9" s="235">
        <f>VRMsizing[[#This Row],[FY25 Revenue Miles]]-VRMsizing[[#This Row],[FY24 Revenue Miles]]</f>
        <v>6286</v>
      </c>
      <c r="L9" s="236">
        <f>K9/VRMsizing[[#This Row],[FY24 Revenue Miles]]</f>
        <v>1.3550830705156258E-2</v>
      </c>
    </row>
    <row r="10" spans="1:12" s="19" customFormat="1">
      <c r="A10" s="208" t="s">
        <v>86</v>
      </c>
      <c r="B10" s="211">
        <v>52366</v>
      </c>
      <c r="C10" s="211">
        <v>54991</v>
      </c>
      <c r="D10" s="211">
        <v>53914</v>
      </c>
      <c r="E10" s="211">
        <v>53460</v>
      </c>
      <c r="F10" s="201" t="s">
        <v>84</v>
      </c>
      <c r="G10">
        <v>9</v>
      </c>
      <c r="H10">
        <v>19</v>
      </c>
      <c r="I10" s="268">
        <f>AVERAGE(VRMsizing[[#This Row],[FY23 Revenue Miles]:[FY25 Revenue Miles]])</f>
        <v>54121.666666666664</v>
      </c>
      <c r="K10" s="235">
        <f>VRMsizing[[#This Row],[FY25 Revenue Miles]]-VRMsizing[[#This Row],[FY24 Revenue Miles]]</f>
        <v>-454</v>
      </c>
      <c r="L10" s="236">
        <f>K10/VRMsizing[[#This Row],[FY24 Revenue Miles]]</f>
        <v>-8.4208183403197689E-3</v>
      </c>
    </row>
    <row r="11" spans="1:12" s="19" customFormat="1">
      <c r="A11" s="208" t="s">
        <v>87</v>
      </c>
      <c r="B11" s="211">
        <v>12904187</v>
      </c>
      <c r="C11" s="211">
        <v>13757219</v>
      </c>
      <c r="D11" s="211">
        <v>13608118.7366</v>
      </c>
      <c r="E11" s="211">
        <v>12877408</v>
      </c>
      <c r="F11" s="201" t="s">
        <v>84</v>
      </c>
      <c r="G11">
        <v>10</v>
      </c>
      <c r="H11">
        <v>20</v>
      </c>
      <c r="I11" s="268">
        <f>AVERAGE(VRMsizing[[#This Row],[FY23 Revenue Miles]:[FY25 Revenue Miles]])</f>
        <v>13414248.578866666</v>
      </c>
      <c r="K11" s="235">
        <f>VRMsizing[[#This Row],[FY25 Revenue Miles]]-VRMsizing[[#This Row],[FY24 Revenue Miles]]</f>
        <v>-730710.73660000041</v>
      </c>
      <c r="L11" s="236">
        <f>K11/VRMsizing[[#This Row],[FY24 Revenue Miles]]</f>
        <v>-5.3696675546686848E-2</v>
      </c>
    </row>
    <row r="12" spans="1:12" s="19" customFormat="1">
      <c r="A12" s="208" t="s">
        <v>88</v>
      </c>
      <c r="B12" s="211">
        <v>483018</v>
      </c>
      <c r="C12" s="211">
        <v>510877</v>
      </c>
      <c r="D12" s="211">
        <v>529269</v>
      </c>
      <c r="E12" s="211">
        <v>543346</v>
      </c>
      <c r="F12" s="201" t="s">
        <v>84</v>
      </c>
      <c r="G12">
        <v>11</v>
      </c>
      <c r="H12">
        <v>31</v>
      </c>
      <c r="I12" s="268">
        <f>AVERAGE(VRMsizing[[#This Row],[FY23 Revenue Miles]:[FY25 Revenue Miles]])</f>
        <v>527830.66666666663</v>
      </c>
      <c r="K12" s="235">
        <f>VRMsizing[[#This Row],[FY25 Revenue Miles]]-VRMsizing[[#This Row],[FY24 Revenue Miles]]</f>
        <v>14077</v>
      </c>
      <c r="L12" s="236">
        <f>K12/VRMsizing[[#This Row],[FY24 Revenue Miles]]</f>
        <v>2.6597061229733841E-2</v>
      </c>
    </row>
    <row r="13" spans="1:12" s="19" customFormat="1">
      <c r="A13" s="208" t="s">
        <v>89</v>
      </c>
      <c r="B13" s="211">
        <v>6777</v>
      </c>
      <c r="C13" s="211">
        <v>4641</v>
      </c>
      <c r="D13" s="211">
        <v>13470</v>
      </c>
      <c r="E13" s="211">
        <v>13408</v>
      </c>
      <c r="F13" s="201" t="s">
        <v>84</v>
      </c>
      <c r="G13">
        <v>12</v>
      </c>
      <c r="H13">
        <v>37</v>
      </c>
      <c r="I13" s="268">
        <f>AVERAGE(VRMsizing[[#This Row],[FY23 Revenue Miles]:[FY25 Revenue Miles]])</f>
        <v>10506.333333333334</v>
      </c>
      <c r="K13" s="235">
        <f>VRMsizing[[#This Row],[FY25 Revenue Miles]]-VRMsizing[[#This Row],[FY24 Revenue Miles]]</f>
        <v>-62</v>
      </c>
      <c r="L13" s="236">
        <f>K13/VRMsizing[[#This Row],[FY24 Revenue Miles]]</f>
        <v>-4.6028210838901266E-3</v>
      </c>
    </row>
    <row r="14" spans="1:12" s="19" customFormat="1">
      <c r="A14" s="208" t="s">
        <v>90</v>
      </c>
      <c r="B14" s="211">
        <v>1099092</v>
      </c>
      <c r="C14" s="211">
        <v>1099660</v>
      </c>
      <c r="D14" s="211">
        <v>1127856</v>
      </c>
      <c r="E14" s="211">
        <v>1121781</v>
      </c>
      <c r="F14" s="201" t="s">
        <v>84</v>
      </c>
      <c r="G14">
        <v>13</v>
      </c>
      <c r="H14">
        <v>39</v>
      </c>
      <c r="I14" s="268">
        <f>AVERAGE(VRMsizing[[#This Row],[FY23 Revenue Miles]:[FY25 Revenue Miles]])</f>
        <v>1116432.3333333333</v>
      </c>
      <c r="K14" s="235">
        <f>VRMsizing[[#This Row],[FY25 Revenue Miles]]-VRMsizing[[#This Row],[FY24 Revenue Miles]]</f>
        <v>-6075</v>
      </c>
      <c r="L14" s="236">
        <f>K14/VRMsizing[[#This Row],[FY24 Revenue Miles]]</f>
        <v>-5.386325913946461E-3</v>
      </c>
    </row>
    <row r="15" spans="1:12" s="19" customFormat="1">
      <c r="A15" s="208" t="s">
        <v>92</v>
      </c>
      <c r="B15" s="211">
        <v>531990</v>
      </c>
      <c r="C15" s="211">
        <v>470807</v>
      </c>
      <c r="D15" s="211">
        <v>565576</v>
      </c>
      <c r="E15" s="211">
        <v>522819</v>
      </c>
      <c r="F15" s="201" t="s">
        <v>91</v>
      </c>
      <c r="G15">
        <v>14</v>
      </c>
      <c r="H15">
        <v>12</v>
      </c>
      <c r="I15" s="268">
        <f>AVERAGE(VRMsizing[[#This Row],[FY23 Revenue Miles]:[FY25 Revenue Miles]])</f>
        <v>519734</v>
      </c>
      <c r="K15" s="235">
        <f>VRMsizing[[#This Row],[FY25 Revenue Miles]]-VRMsizing[[#This Row],[FY24 Revenue Miles]]</f>
        <v>-42757</v>
      </c>
      <c r="L15" s="236">
        <f>K15/VRMsizing[[#This Row],[FY24 Revenue Miles]]</f>
        <v>-7.5599035319744823E-2</v>
      </c>
    </row>
    <row r="16" spans="1:12" s="19" customFormat="1">
      <c r="A16" s="208" t="s">
        <v>93</v>
      </c>
      <c r="B16" s="211">
        <v>174059</v>
      </c>
      <c r="C16" s="211">
        <v>171222</v>
      </c>
      <c r="D16" s="211">
        <v>168612</v>
      </c>
      <c r="E16" s="211">
        <v>170330</v>
      </c>
      <c r="F16" s="201" t="s">
        <v>91</v>
      </c>
      <c r="G16">
        <v>15</v>
      </c>
      <c r="H16">
        <v>14</v>
      </c>
      <c r="I16" s="268">
        <f>AVERAGE(VRMsizing[[#This Row],[FY23 Revenue Miles]:[FY25 Revenue Miles]])</f>
        <v>170054.66666666666</v>
      </c>
      <c r="K16" s="235">
        <f>VRMsizing[[#This Row],[FY25 Revenue Miles]]-VRMsizing[[#This Row],[FY24 Revenue Miles]]</f>
        <v>1718</v>
      </c>
      <c r="L16" s="236">
        <f>K16/VRMsizing[[#This Row],[FY24 Revenue Miles]]</f>
        <v>1.0189073138329419E-2</v>
      </c>
    </row>
    <row r="17" spans="1:13" s="19" customFormat="1">
      <c r="A17" s="208" t="s">
        <v>94</v>
      </c>
      <c r="B17" s="211">
        <v>1073547</v>
      </c>
      <c r="C17" s="211">
        <v>1150861</v>
      </c>
      <c r="D17" s="211">
        <v>1157573.97</v>
      </c>
      <c r="E17" s="211">
        <v>1183040</v>
      </c>
      <c r="F17" s="201" t="s">
        <v>91</v>
      </c>
      <c r="G17">
        <v>16</v>
      </c>
      <c r="H17">
        <v>16</v>
      </c>
      <c r="I17" s="268">
        <f>AVERAGE(VRMsizing[[#This Row],[FY23 Revenue Miles]:[FY25 Revenue Miles]])</f>
        <v>1163824.99</v>
      </c>
      <c r="K17" s="235">
        <f>VRMsizing[[#This Row],[FY25 Revenue Miles]]-VRMsizing[[#This Row],[FY24 Revenue Miles]]</f>
        <v>25466.030000000028</v>
      </c>
      <c r="L17" s="236">
        <f>K17/VRMsizing[[#This Row],[FY24 Revenue Miles]]</f>
        <v>2.1999483972501583E-2</v>
      </c>
    </row>
    <row r="18" spans="1:13" s="19" customFormat="1">
      <c r="A18" s="208" t="s">
        <v>95</v>
      </c>
      <c r="B18" s="211">
        <v>48696</v>
      </c>
      <c r="C18" s="211">
        <v>48742</v>
      </c>
      <c r="D18" s="211">
        <v>50699</v>
      </c>
      <c r="E18" s="211">
        <v>52054</v>
      </c>
      <c r="F18" s="201" t="s">
        <v>91</v>
      </c>
      <c r="G18">
        <v>17</v>
      </c>
      <c r="H18">
        <v>32</v>
      </c>
      <c r="I18" s="268">
        <f>AVERAGE(VRMsizing[[#This Row],[FY23 Revenue Miles]:[FY25 Revenue Miles]])</f>
        <v>50498.333333333336</v>
      </c>
      <c r="K18" s="235">
        <f>VRMsizing[[#This Row],[FY25 Revenue Miles]]-VRMsizing[[#This Row],[FY24 Revenue Miles]]</f>
        <v>1355</v>
      </c>
      <c r="L18" s="236">
        <f>K18/VRMsizing[[#This Row],[FY24 Revenue Miles]]</f>
        <v>2.672636541154658E-2</v>
      </c>
    </row>
    <row r="19" spans="1:13" s="19" customFormat="1">
      <c r="A19" s="208" t="s">
        <v>165</v>
      </c>
      <c r="B19" s="226">
        <f>1820398+427962.5</f>
        <v>2248360.5</v>
      </c>
      <c r="C19" s="226">
        <f>2090076+501367</f>
        <v>2591443</v>
      </c>
      <c r="D19" s="226">
        <f>3306565+587607</f>
        <v>3894172</v>
      </c>
      <c r="E19" s="233">
        <f>3402392+544235</f>
        <v>3946627</v>
      </c>
      <c r="F19" s="201" t="s">
        <v>96</v>
      </c>
      <c r="G19">
        <v>18</v>
      </c>
      <c r="H19">
        <v>11</v>
      </c>
      <c r="I19" s="268">
        <f>AVERAGE(VRMsizing[[#This Row],[FY23 Revenue Miles]:[FY25 Revenue Miles]])</f>
        <v>3477414</v>
      </c>
      <c r="K19" s="235">
        <f>VRMsizing[[#This Row],[FY25 Revenue Miles]]-VRMsizing[[#This Row],[FY24 Revenue Miles]]</f>
        <v>52455</v>
      </c>
      <c r="L19" s="236">
        <f>K19/VRMsizing[[#This Row],[FY24 Revenue Miles]]</f>
        <v>1.347012920846845E-2</v>
      </c>
      <c r="M19" s="234"/>
    </row>
    <row r="20" spans="1:13" s="19" customFormat="1">
      <c r="A20" s="208" t="s">
        <v>98</v>
      </c>
      <c r="B20" s="211">
        <v>2083544</v>
      </c>
      <c r="C20" s="211">
        <v>2205880</v>
      </c>
      <c r="D20" s="211">
        <v>2329537</v>
      </c>
      <c r="E20" s="211">
        <v>2247168</v>
      </c>
      <c r="F20" s="201" t="s">
        <v>96</v>
      </c>
      <c r="G20">
        <v>19</v>
      </c>
      <c r="H20">
        <v>24</v>
      </c>
      <c r="I20" s="268">
        <f>AVERAGE(VRMsizing[[#This Row],[FY23 Revenue Miles]:[FY25 Revenue Miles]])</f>
        <v>2260861.6666666665</v>
      </c>
      <c r="K20" s="235">
        <f>VRMsizing[[#This Row],[FY25 Revenue Miles]]-VRMsizing[[#This Row],[FY24 Revenue Miles]]</f>
        <v>-82369</v>
      </c>
      <c r="L20" s="236">
        <f>K20/VRMsizing[[#This Row],[FY24 Revenue Miles]]</f>
        <v>-3.5358528325585725E-2</v>
      </c>
      <c r="M20" s="234"/>
    </row>
    <row r="21" spans="1:13" s="19" customFormat="1">
      <c r="A21" s="208" t="s">
        <v>99</v>
      </c>
      <c r="B21" s="211">
        <v>2503129</v>
      </c>
      <c r="C21" s="211">
        <v>3036654</v>
      </c>
      <c r="D21" s="211">
        <v>2865159</v>
      </c>
      <c r="E21" s="211">
        <v>2959703</v>
      </c>
      <c r="F21" s="201" t="s">
        <v>96</v>
      </c>
      <c r="G21">
        <v>20</v>
      </c>
      <c r="H21">
        <v>25</v>
      </c>
      <c r="I21" s="268">
        <f>AVERAGE(VRMsizing[[#This Row],[FY23 Revenue Miles]:[FY25 Revenue Miles]])</f>
        <v>2953838.6666666665</v>
      </c>
      <c r="K21" s="235">
        <f>VRMsizing[[#This Row],[FY25 Revenue Miles]]-VRMsizing[[#This Row],[FY24 Revenue Miles]]</f>
        <v>94544</v>
      </c>
      <c r="L21" s="236">
        <f>K21/VRMsizing[[#This Row],[FY24 Revenue Miles]]</f>
        <v>3.2997819667250579E-2</v>
      </c>
      <c r="M21" s="234"/>
    </row>
    <row r="22" spans="1:13" s="19" customFormat="1">
      <c r="A22" s="208" t="s">
        <v>100</v>
      </c>
      <c r="B22" s="211">
        <v>434291</v>
      </c>
      <c r="C22" s="211">
        <v>439291</v>
      </c>
      <c r="D22" s="211">
        <v>434414</v>
      </c>
      <c r="E22" s="211">
        <v>434479</v>
      </c>
      <c r="F22" s="201" t="s">
        <v>96</v>
      </c>
      <c r="G22">
        <v>21</v>
      </c>
      <c r="H22">
        <v>26</v>
      </c>
      <c r="I22" s="268">
        <f>AVERAGE(VRMsizing[[#This Row],[FY23 Revenue Miles]:[FY25 Revenue Miles]])</f>
        <v>436061.33333333331</v>
      </c>
      <c r="K22" s="235">
        <f>VRMsizing[[#This Row],[FY25 Revenue Miles]]-VRMsizing[[#This Row],[FY24 Revenue Miles]]</f>
        <v>65</v>
      </c>
      <c r="L22" s="236">
        <f>K22/VRMsizing[[#This Row],[FY24 Revenue Miles]]</f>
        <v>1.4962685364652153E-4</v>
      </c>
    </row>
    <row r="23" spans="1:13" s="19" customFormat="1">
      <c r="A23" s="208" t="s">
        <v>101</v>
      </c>
      <c r="B23" s="226">
        <f>10856360+85445</f>
        <v>10941805</v>
      </c>
      <c r="C23" s="211">
        <v>11068404</v>
      </c>
      <c r="D23" s="211">
        <v>10820543.213</v>
      </c>
      <c r="E23" s="211">
        <v>11834233</v>
      </c>
      <c r="F23" s="201" t="s">
        <v>96</v>
      </c>
      <c r="G23">
        <v>22</v>
      </c>
      <c r="H23">
        <v>27</v>
      </c>
      <c r="I23" s="268">
        <f>AVERAGE(VRMsizing[[#This Row],[FY23 Revenue Miles]:[FY25 Revenue Miles]])</f>
        <v>11241060.071</v>
      </c>
      <c r="K23" s="235">
        <f>VRMsizing[[#This Row],[FY25 Revenue Miles]]-VRMsizing[[#This Row],[FY24 Revenue Miles]]</f>
        <v>1013689.7870000005</v>
      </c>
      <c r="L23" s="236">
        <f>K23/VRMsizing[[#This Row],[FY24 Revenue Miles]]</f>
        <v>9.3681968367552465E-2</v>
      </c>
    </row>
    <row r="24" spans="1:13" s="19" customFormat="1">
      <c r="A24" s="208" t="s">
        <v>102</v>
      </c>
      <c r="B24" s="226">
        <f>3292747+1905553</f>
        <v>5198300</v>
      </c>
      <c r="C24" s="226">
        <f>3127398+1784701</f>
        <v>4912099</v>
      </c>
      <c r="D24" s="226">
        <f>3747819.65+1922948</f>
        <v>5670767.6500000004</v>
      </c>
      <c r="E24" s="233">
        <f>4028184.95969473+2078432.4</f>
        <v>6106617.3596947305</v>
      </c>
      <c r="F24" s="201" t="s">
        <v>96</v>
      </c>
      <c r="G24">
        <v>23</v>
      </c>
      <c r="H24">
        <v>28</v>
      </c>
      <c r="I24" s="268">
        <f>AVERAGE(VRMsizing[[#This Row],[FY23 Revenue Miles]:[FY25 Revenue Miles]])</f>
        <v>5563161.3365649106</v>
      </c>
      <c r="K24" s="235">
        <f>VRMsizing[[#This Row],[FY25 Revenue Miles]]-VRMsizing[[#This Row],[FY24 Revenue Miles]]</f>
        <v>435849.70969473012</v>
      </c>
      <c r="L24" s="236">
        <f>K24/VRMsizing[[#This Row],[FY24 Revenue Miles]]</f>
        <v>7.685903154482622E-2</v>
      </c>
    </row>
    <row r="25" spans="1:13" s="19" customFormat="1">
      <c r="A25" s="208" t="s">
        <v>104</v>
      </c>
      <c r="B25" s="211">
        <v>554292</v>
      </c>
      <c r="C25" s="211">
        <v>553318</v>
      </c>
      <c r="D25" s="211">
        <v>539337</v>
      </c>
      <c r="E25" s="211">
        <v>571373</v>
      </c>
      <c r="F25" s="201" t="s">
        <v>103</v>
      </c>
      <c r="G25">
        <v>24</v>
      </c>
      <c r="H25">
        <v>7</v>
      </c>
      <c r="I25" s="268">
        <f>AVERAGE(VRMsizing[[#This Row],[FY23 Revenue Miles]:[FY25 Revenue Miles]])</f>
        <v>554676</v>
      </c>
      <c r="K25" s="235">
        <f>VRMsizing[[#This Row],[FY25 Revenue Miles]]-VRMsizing[[#This Row],[FY24 Revenue Miles]]</f>
        <v>32036</v>
      </c>
      <c r="L25" s="236">
        <f>K25/VRMsizing[[#This Row],[FY24 Revenue Miles]]</f>
        <v>5.9398854519530461E-2</v>
      </c>
    </row>
    <row r="26" spans="1:13" s="19" customFormat="1">
      <c r="A26" s="208" t="s">
        <v>105</v>
      </c>
      <c r="B26" s="211">
        <v>7359404</v>
      </c>
      <c r="C26" s="226">
        <f>6987882+34410</f>
        <v>7022292</v>
      </c>
      <c r="D26" s="226">
        <f>7664912+60554.06</f>
        <v>7725466.0599999996</v>
      </c>
      <c r="E26" s="233">
        <f>9029698+11322</f>
        <v>9041020</v>
      </c>
      <c r="F26" s="201" t="s">
        <v>103</v>
      </c>
      <c r="G26">
        <v>25</v>
      </c>
      <c r="H26">
        <v>17</v>
      </c>
      <c r="I26" s="268">
        <f>AVERAGE(VRMsizing[[#This Row],[FY23 Revenue Miles]:[FY25 Revenue Miles]])</f>
        <v>7929592.6866666665</v>
      </c>
      <c r="K26" s="235">
        <f>VRMsizing[[#This Row],[FY25 Revenue Miles]]-VRMsizing[[#This Row],[FY24 Revenue Miles]]</f>
        <v>1315553.9400000004</v>
      </c>
      <c r="L26" s="236">
        <f>K26/VRMsizing[[#This Row],[FY24 Revenue Miles]]</f>
        <v>0.1702879709499365</v>
      </c>
    </row>
    <row r="27" spans="1:13" s="19" customFormat="1">
      <c r="A27" s="208" t="s">
        <v>173</v>
      </c>
      <c r="B27" s="211">
        <v>0</v>
      </c>
      <c r="C27" s="211">
        <v>14369</v>
      </c>
      <c r="D27" s="211">
        <v>20921</v>
      </c>
      <c r="E27" s="211">
        <v>19549</v>
      </c>
      <c r="F27" s="201" t="s">
        <v>106</v>
      </c>
      <c r="G27">
        <v>26</v>
      </c>
      <c r="H27">
        <v>33</v>
      </c>
      <c r="I27" s="268">
        <f>AVERAGE(VRMsizing[[#This Row],[FY23 Revenue Miles]:[FY25 Revenue Miles]])</f>
        <v>18279.666666666668</v>
      </c>
      <c r="K27" s="235">
        <f>VRMsizing[[#This Row],[FY25 Revenue Miles]]-VRMsizing[[#This Row],[FY24 Revenue Miles]]</f>
        <v>-1372</v>
      </c>
      <c r="L27" s="236">
        <f>K27/VRMsizing[[#This Row],[FY24 Revenue Miles]]</f>
        <v>-6.5580039195067164E-2</v>
      </c>
    </row>
    <row r="28" spans="1:13" s="19" customFormat="1">
      <c r="A28" s="208" t="s">
        <v>170</v>
      </c>
      <c r="B28" s="211">
        <v>1050017</v>
      </c>
      <c r="C28" s="211">
        <v>970481</v>
      </c>
      <c r="D28" s="211">
        <v>1022384</v>
      </c>
      <c r="E28" s="211">
        <v>1225247</v>
      </c>
      <c r="F28" s="201" t="s">
        <v>106</v>
      </c>
      <c r="G28">
        <v>27</v>
      </c>
      <c r="H28">
        <v>34</v>
      </c>
      <c r="I28" s="268">
        <f>AVERAGE(VRMsizing[[#This Row],[FY23 Revenue Miles]:[FY25 Revenue Miles]])</f>
        <v>1072704</v>
      </c>
      <c r="K28" s="235">
        <f>VRMsizing[[#This Row],[FY25 Revenue Miles]]-VRMsizing[[#This Row],[FY24 Revenue Miles]]</f>
        <v>202863</v>
      </c>
      <c r="L28" s="236">
        <f>K28/VRMsizing[[#This Row],[FY24 Revenue Miles]]</f>
        <v>0.1984215324183477</v>
      </c>
    </row>
    <row r="29" spans="1:13" s="19" customFormat="1">
      <c r="A29" s="208" t="s">
        <v>108</v>
      </c>
      <c r="B29" s="211">
        <v>373643</v>
      </c>
      <c r="C29" s="211">
        <v>388317</v>
      </c>
      <c r="D29" s="211">
        <v>438033</v>
      </c>
      <c r="E29" s="211">
        <v>415651.78999999992</v>
      </c>
      <c r="F29" s="201" t="s">
        <v>106</v>
      </c>
      <c r="G29">
        <v>28</v>
      </c>
      <c r="H29">
        <v>8</v>
      </c>
      <c r="I29" s="268">
        <f>AVERAGE(VRMsizing[[#This Row],[FY23 Revenue Miles]:[FY25 Revenue Miles]])</f>
        <v>414000.59666666668</v>
      </c>
      <c r="K29" s="235">
        <f>VRMsizing[[#This Row],[FY25 Revenue Miles]]-VRMsizing[[#This Row],[FY24 Revenue Miles]]</f>
        <v>-22381.210000000079</v>
      </c>
      <c r="L29" s="236">
        <f>K29/VRMsizing[[#This Row],[FY24 Revenue Miles]]</f>
        <v>-5.1094803359564414E-2</v>
      </c>
    </row>
    <row r="30" spans="1:13" s="19" customFormat="1">
      <c r="A30" s="208" t="s">
        <v>109</v>
      </c>
      <c r="B30" s="211">
        <v>2582667</v>
      </c>
      <c r="C30" s="211">
        <v>2266478</v>
      </c>
      <c r="D30" s="211">
        <v>2359994</v>
      </c>
      <c r="E30" s="211">
        <v>2558671</v>
      </c>
      <c r="F30" s="201" t="s">
        <v>106</v>
      </c>
      <c r="G30">
        <v>29</v>
      </c>
      <c r="H30">
        <v>18</v>
      </c>
      <c r="I30" s="268">
        <f>AVERAGE(VRMsizing[[#This Row],[FY23 Revenue Miles]:[FY25 Revenue Miles]])</f>
        <v>2395047.6666666665</v>
      </c>
      <c r="K30" s="235">
        <f>VRMsizing[[#This Row],[FY25 Revenue Miles]]-VRMsizing[[#This Row],[FY24 Revenue Miles]]</f>
        <v>198677</v>
      </c>
      <c r="L30" s="236">
        <f>K30/VRMsizing[[#This Row],[FY24 Revenue Miles]]</f>
        <v>8.4185383522161497E-2</v>
      </c>
    </row>
    <row r="31" spans="1:13" s="19" customFormat="1">
      <c r="A31" s="208" t="s">
        <v>110</v>
      </c>
      <c r="B31" s="211">
        <v>220116</v>
      </c>
      <c r="C31" s="211">
        <v>227896</v>
      </c>
      <c r="D31" s="211">
        <v>231250</v>
      </c>
      <c r="E31" s="211">
        <v>230357</v>
      </c>
      <c r="F31" s="201" t="s">
        <v>106</v>
      </c>
      <c r="G31">
        <v>30</v>
      </c>
      <c r="H31">
        <v>29</v>
      </c>
      <c r="I31" s="268">
        <f>AVERAGE(VRMsizing[[#This Row],[FY23 Revenue Miles]:[FY25 Revenue Miles]])</f>
        <v>229834.33333333334</v>
      </c>
      <c r="K31" s="235">
        <f>VRMsizing[[#This Row],[FY25 Revenue Miles]]-VRMsizing[[#This Row],[FY24 Revenue Miles]]</f>
        <v>-893</v>
      </c>
      <c r="L31" s="236">
        <f>K31/VRMsizing[[#This Row],[FY24 Revenue Miles]]</f>
        <v>-3.8616216216216218E-3</v>
      </c>
    </row>
    <row r="32" spans="1:13" s="19" customFormat="1">
      <c r="A32" s="208" t="s">
        <v>112</v>
      </c>
      <c r="B32" s="211">
        <v>710177</v>
      </c>
      <c r="C32" s="211">
        <v>740596</v>
      </c>
      <c r="D32" s="211">
        <v>705618.94</v>
      </c>
      <c r="E32" s="211">
        <v>709247</v>
      </c>
      <c r="F32" s="201" t="s">
        <v>111</v>
      </c>
      <c r="G32">
        <v>31</v>
      </c>
      <c r="H32">
        <v>3</v>
      </c>
      <c r="I32" s="268">
        <f>AVERAGE(VRMsizing[[#This Row],[FY23 Revenue Miles]:[FY25 Revenue Miles]])</f>
        <v>718487.31333333335</v>
      </c>
      <c r="K32" s="235">
        <f>VRMsizing[[#This Row],[FY25 Revenue Miles]]-VRMsizing[[#This Row],[FY24 Revenue Miles]]</f>
        <v>3628.0600000000559</v>
      </c>
      <c r="L32" s="236">
        <f>K32/VRMsizing[[#This Row],[FY24 Revenue Miles]]</f>
        <v>5.1416703752312203E-3</v>
      </c>
    </row>
    <row r="33" spans="1:12" s="19" customFormat="1">
      <c r="A33" s="208" t="s">
        <v>113</v>
      </c>
      <c r="B33" s="211">
        <v>753636</v>
      </c>
      <c r="C33" s="211">
        <v>723645</v>
      </c>
      <c r="D33" s="211">
        <v>768657</v>
      </c>
      <c r="E33" s="211">
        <v>793294</v>
      </c>
      <c r="F33" s="201" t="s">
        <v>111</v>
      </c>
      <c r="G33">
        <v>32</v>
      </c>
      <c r="H33">
        <v>6</v>
      </c>
      <c r="I33" s="268">
        <f>AVERAGE(VRMsizing[[#This Row],[FY23 Revenue Miles]:[FY25 Revenue Miles]])</f>
        <v>761865.33333333337</v>
      </c>
      <c r="K33" s="235">
        <f>VRMsizing[[#This Row],[FY25 Revenue Miles]]-VRMsizing[[#This Row],[FY24 Revenue Miles]]</f>
        <v>24637</v>
      </c>
      <c r="L33" s="236">
        <f>K33/VRMsizing[[#This Row],[FY24 Revenue Miles]]</f>
        <v>3.2052007592463218E-2</v>
      </c>
    </row>
    <row r="34" spans="1:12" s="19" customFormat="1">
      <c r="A34" s="208" t="s">
        <v>114</v>
      </c>
      <c r="B34" s="211">
        <v>185237</v>
      </c>
      <c r="C34" s="211">
        <v>226791</v>
      </c>
      <c r="D34" s="211">
        <v>331246</v>
      </c>
      <c r="E34" s="211">
        <v>388329</v>
      </c>
      <c r="F34" s="201" t="s">
        <v>111</v>
      </c>
      <c r="G34">
        <v>33</v>
      </c>
      <c r="H34">
        <v>10</v>
      </c>
      <c r="I34" s="268">
        <f>AVERAGE(VRMsizing[[#This Row],[FY23 Revenue Miles]:[FY25 Revenue Miles]])</f>
        <v>315455.33333333331</v>
      </c>
      <c r="K34" s="235">
        <f>VRMsizing[[#This Row],[FY25 Revenue Miles]]-VRMsizing[[#This Row],[FY24 Revenue Miles]]</f>
        <v>57083</v>
      </c>
      <c r="L34" s="236">
        <f>K34/VRMsizing[[#This Row],[FY24 Revenue Miles]]</f>
        <v>0.17232811867916895</v>
      </c>
    </row>
    <row r="35" spans="1:12" s="19" customFormat="1">
      <c r="A35" s="208" t="s">
        <v>116</v>
      </c>
      <c r="B35" s="211">
        <v>1402170</v>
      </c>
      <c r="C35" s="211">
        <v>1393044</v>
      </c>
      <c r="D35" s="211">
        <v>1392527</v>
      </c>
      <c r="E35" s="211">
        <v>1316507</v>
      </c>
      <c r="F35" s="201" t="s">
        <v>115</v>
      </c>
      <c r="G35">
        <v>34</v>
      </c>
      <c r="H35">
        <v>2</v>
      </c>
      <c r="I35" s="268">
        <f>AVERAGE(VRMsizing[[#This Row],[FY23 Revenue Miles]:[FY25 Revenue Miles]])</f>
        <v>1367359.3333333333</v>
      </c>
      <c r="K35" s="235">
        <f>VRMsizing[[#This Row],[FY25 Revenue Miles]]-VRMsizing[[#This Row],[FY24 Revenue Miles]]</f>
        <v>-76020</v>
      </c>
      <c r="L35" s="236">
        <f>K35/VRMsizing[[#This Row],[FY24 Revenue Miles]]</f>
        <v>-5.4591401100301827E-2</v>
      </c>
    </row>
    <row r="36" spans="1:12" s="19" customFormat="1">
      <c r="A36" s="208" t="s">
        <v>171</v>
      </c>
      <c r="B36" s="211">
        <v>414537</v>
      </c>
      <c r="C36" s="211">
        <v>418259</v>
      </c>
      <c r="D36" s="211">
        <v>413556</v>
      </c>
      <c r="E36" s="211">
        <v>375346</v>
      </c>
      <c r="F36" s="201" t="s">
        <v>115</v>
      </c>
      <c r="G36">
        <v>35</v>
      </c>
      <c r="H36">
        <v>35</v>
      </c>
      <c r="I36" s="268">
        <f>AVERAGE(VRMsizing[[#This Row],[FY23 Revenue Miles]:[FY25 Revenue Miles]])</f>
        <v>402387</v>
      </c>
      <c r="K36" s="235">
        <f>VRMsizing[[#This Row],[FY25 Revenue Miles]]-VRMsizing[[#This Row],[FY24 Revenue Miles]]</f>
        <v>-38210</v>
      </c>
      <c r="L36" s="236">
        <f>K36/VRMsizing[[#This Row],[FY24 Revenue Miles]]</f>
        <v>-9.2393774966389078E-2</v>
      </c>
    </row>
    <row r="37" spans="1:12" s="19" customFormat="1">
      <c r="A37" s="208" t="s">
        <v>167</v>
      </c>
      <c r="B37" s="226">
        <v>813639</v>
      </c>
      <c r="C37" s="226">
        <v>941674</v>
      </c>
      <c r="D37" s="226">
        <v>906466.02099999995</v>
      </c>
      <c r="E37" s="211">
        <v>890440</v>
      </c>
      <c r="F37" s="201" t="s">
        <v>115</v>
      </c>
      <c r="G37">
        <v>36</v>
      </c>
      <c r="H37">
        <v>21</v>
      </c>
      <c r="I37" s="268">
        <f>AVERAGE(VRMsizing[[#This Row],[FY23 Revenue Miles]:[FY25 Revenue Miles]])</f>
        <v>912860.00699999987</v>
      </c>
      <c r="K37" s="235">
        <f>VRMsizing[[#This Row],[FY25 Revenue Miles]]-VRMsizing[[#This Row],[FY24 Revenue Miles]]</f>
        <v>-16026.02099999995</v>
      </c>
      <c r="L37" s="236">
        <f>K37/VRMsizing[[#This Row],[FY24 Revenue Miles]]</f>
        <v>-1.7679670973568627E-2</v>
      </c>
    </row>
    <row r="38" spans="1:12" s="19" customFormat="1">
      <c r="A38" s="208" t="s">
        <v>168</v>
      </c>
      <c r="B38" s="211">
        <v>55690</v>
      </c>
      <c r="C38" s="211">
        <v>60529</v>
      </c>
      <c r="D38" s="211">
        <v>59926</v>
      </c>
      <c r="E38" s="211">
        <v>57889</v>
      </c>
      <c r="F38" s="201" t="s">
        <v>115</v>
      </c>
      <c r="G38">
        <v>37</v>
      </c>
      <c r="H38">
        <v>22</v>
      </c>
      <c r="I38" s="268">
        <f>AVERAGE(VRMsizing[[#This Row],[FY23 Revenue Miles]:[FY25 Revenue Miles]])</f>
        <v>59448</v>
      </c>
      <c r="K38" s="235">
        <f>VRMsizing[[#This Row],[FY25 Revenue Miles]]-VRMsizing[[#This Row],[FY24 Revenue Miles]]</f>
        <v>-2037</v>
      </c>
      <c r="L38" s="236">
        <f>K38/VRMsizing[[#This Row],[FY24 Revenue Miles]]</f>
        <v>-3.3991923372158998E-2</v>
      </c>
    </row>
    <row r="39" spans="1:12" s="19" customFormat="1">
      <c r="A39" s="208" t="s">
        <v>169</v>
      </c>
      <c r="B39" s="211">
        <v>310870</v>
      </c>
      <c r="C39" s="211">
        <v>313578</v>
      </c>
      <c r="D39" s="211">
        <v>310461</v>
      </c>
      <c r="E39" s="211">
        <v>302041</v>
      </c>
      <c r="F39" s="201" t="s">
        <v>115</v>
      </c>
      <c r="G39">
        <v>38</v>
      </c>
      <c r="H39">
        <v>30</v>
      </c>
      <c r="I39" s="268">
        <f>AVERAGE(VRMsizing[[#This Row],[FY23 Revenue Miles]:[FY25 Revenue Miles]])</f>
        <v>308693.33333333331</v>
      </c>
      <c r="K39" s="235">
        <f>VRMsizing[[#This Row],[FY25 Revenue Miles]]-VRMsizing[[#This Row],[FY24 Revenue Miles]]</f>
        <v>-8420</v>
      </c>
      <c r="L39" s="236">
        <f>K39/VRMsizing[[#This Row],[FY24 Revenue Miles]]</f>
        <v>-2.7120958832188263E-2</v>
      </c>
    </row>
    <row r="40" spans="1:12" s="19" customFormat="1">
      <c r="A40" s="208" t="s">
        <v>172</v>
      </c>
      <c r="B40" s="211">
        <v>935668</v>
      </c>
      <c r="C40" s="226">
        <v>994681</v>
      </c>
      <c r="D40" s="211">
        <v>985112</v>
      </c>
      <c r="E40" s="211">
        <v>983647</v>
      </c>
      <c r="F40" s="201" t="s">
        <v>115</v>
      </c>
      <c r="G40">
        <v>39</v>
      </c>
      <c r="H40">
        <v>38</v>
      </c>
      <c r="I40" s="268">
        <f>AVERAGE(VRMsizing[[#This Row],[FY23 Revenue Miles]:[FY25 Revenue Miles]])</f>
        <v>987813.33333333337</v>
      </c>
      <c r="K40" s="235">
        <f>VRMsizing[[#This Row],[FY25 Revenue Miles]]-VRMsizing[[#This Row],[FY24 Revenue Miles]]</f>
        <v>-1465</v>
      </c>
      <c r="L40" s="236">
        <f>K40/VRMsizing[[#This Row],[FY24 Revenue Miles]]</f>
        <v>-1.4871405484858575E-3</v>
      </c>
    </row>
    <row r="41" spans="1:12">
      <c r="A41" s="208" t="s">
        <v>125</v>
      </c>
      <c r="B41" s="216">
        <f>SUM(B2:B40)</f>
        <v>61630638.5</v>
      </c>
      <c r="C41" s="216">
        <f>SUM(C2:C40)</f>
        <v>63222175</v>
      </c>
      <c r="D41" s="216">
        <f>SUM(D2:D40)</f>
        <v>66036390.590599991</v>
      </c>
      <c r="E41" s="216">
        <f>SUM(E2:E40)</f>
        <v>68543972.149694741</v>
      </c>
      <c r="F41" s="217" t="s">
        <v>134</v>
      </c>
      <c r="G41" s="26" t="s">
        <v>134</v>
      </c>
      <c r="H41" s="218" t="s">
        <v>134</v>
      </c>
      <c r="K41" s="235">
        <f>E41-D41</f>
        <v>2507581.5590947494</v>
      </c>
      <c r="L41" s="236">
        <f>K41/D41</f>
        <v>3.7972722867922665E-2</v>
      </c>
    </row>
    <row r="42" spans="1:12">
      <c r="B42" s="25"/>
      <c r="C42" s="21"/>
    </row>
  </sheetData>
  <sheetProtection sheet="1" objects="1" scenarios="1"/>
  <conditionalFormatting sqref="H2:H40">
    <cfRule type="cellIs" dxfId="3" priority="3" operator="lessThan">
      <formula>0</formula>
    </cfRule>
  </conditionalFormatting>
  <conditionalFormatting sqref="I2:I40">
    <cfRule type="cellIs" dxfId="2" priority="4" operator="lessThan">
      <formula>0</formula>
    </cfRule>
  </conditionalFormatting>
  <conditionalFormatting sqref="K2:L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scale="83" orientation="portrait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9CBC-2123-40DC-B3A9-55FD436AB0AC}">
  <sheetPr>
    <pageSetUpPr fitToPage="1"/>
  </sheetPr>
  <dimension ref="A1:XFD42"/>
  <sheetViews>
    <sheetView zoomScaleNormal="100" workbookViewId="0">
      <selection activeCell="A3" sqref="A1:L1048576"/>
    </sheetView>
  </sheetViews>
  <sheetFormatPr defaultColWidth="9.26953125" defaultRowHeight="16"/>
  <cols>
    <col min="1" max="1" width="48" style="23" bestFit="1" customWidth="1"/>
    <col min="2" max="4" width="23.81640625" style="24" bestFit="1" customWidth="1"/>
    <col min="5" max="5" width="23.81640625" style="23" bestFit="1" customWidth="1"/>
    <col min="6" max="6" width="16.81640625" style="23" bestFit="1" customWidth="1"/>
    <col min="7" max="7" width="15" style="23" bestFit="1" customWidth="1"/>
    <col min="8" max="8" width="22.453125" style="23" bestFit="1" customWidth="1"/>
    <col min="9" max="9" width="15.7265625" style="23" customWidth="1"/>
    <col min="10" max="10" width="9.26953125" style="23"/>
    <col min="11" max="11" width="15.7265625" style="23" customWidth="1"/>
    <col min="12" max="16384" width="9.26953125" style="23"/>
  </cols>
  <sheetData>
    <row r="1" spans="1:9" ht="30" customHeight="1">
      <c r="A1" s="212" t="s">
        <v>124</v>
      </c>
      <c r="B1" s="405" t="s">
        <v>157</v>
      </c>
      <c r="C1" s="405" t="s">
        <v>158</v>
      </c>
      <c r="D1" s="405" t="s">
        <v>159</v>
      </c>
      <c r="E1" s="405" t="s">
        <v>160</v>
      </c>
      <c r="F1" s="406" t="s">
        <v>14</v>
      </c>
      <c r="G1" s="406" t="s">
        <v>142</v>
      </c>
      <c r="H1" s="406" t="s">
        <v>143</v>
      </c>
      <c r="I1" s="407" t="s">
        <v>195</v>
      </c>
    </row>
    <row r="2" spans="1:9">
      <c r="A2" s="208" t="s">
        <v>75</v>
      </c>
      <c r="B2" s="219">
        <v>2305461</v>
      </c>
      <c r="C2" s="220">
        <v>2499963</v>
      </c>
      <c r="D2" s="223">
        <v>2553471</v>
      </c>
      <c r="E2" s="403">
        <v>2524115</v>
      </c>
      <c r="F2" s="201" t="s">
        <v>74</v>
      </c>
      <c r="G2" s="23">
        <v>1</v>
      </c>
      <c r="H2" s="23">
        <v>1</v>
      </c>
      <c r="I2" s="404">
        <f>AVERAGE(OpCost[[#This Row],[FY23 Operating Cost Performance]:[FY25 Operating Cost Performance]])</f>
        <v>2525849.6666666665</v>
      </c>
    </row>
    <row r="3" spans="1:9">
      <c r="A3" s="208" t="s">
        <v>76</v>
      </c>
      <c r="B3" s="219">
        <v>453078</v>
      </c>
      <c r="C3" s="220">
        <v>398814</v>
      </c>
      <c r="D3" s="408">
        <v>361548</v>
      </c>
      <c r="E3" s="403">
        <v>420188</v>
      </c>
      <c r="F3" s="201" t="s">
        <v>74</v>
      </c>
      <c r="G3" s="23">
        <v>2</v>
      </c>
      <c r="H3" s="23">
        <v>5</v>
      </c>
      <c r="I3" s="404">
        <f>AVERAGE(OpCost[[#This Row],[FY23 Operating Cost Performance]:[FY25 Operating Cost Performance]])</f>
        <v>393516.66666666669</v>
      </c>
    </row>
    <row r="4" spans="1:9">
      <c r="A4" s="208" t="s">
        <v>77</v>
      </c>
      <c r="B4" s="219">
        <v>2625058</v>
      </c>
      <c r="C4" s="220">
        <v>2701881</v>
      </c>
      <c r="D4" s="408">
        <v>2998198</v>
      </c>
      <c r="E4" s="403">
        <v>3065339</v>
      </c>
      <c r="F4" s="201" t="s">
        <v>74</v>
      </c>
      <c r="G4" s="23">
        <v>3</v>
      </c>
      <c r="H4" s="23">
        <v>13</v>
      </c>
      <c r="I4" s="404">
        <f>AVERAGE(OpCost[[#This Row],[FY23 Operating Cost Performance]:[FY25 Operating Cost Performance]])</f>
        <v>2921806</v>
      </c>
    </row>
    <row r="5" spans="1:9">
      <c r="A5" s="208" t="s">
        <v>78</v>
      </c>
      <c r="B5" s="219">
        <v>2166873</v>
      </c>
      <c r="C5" s="220">
        <v>2152208</v>
      </c>
      <c r="D5" s="223">
        <v>2155919</v>
      </c>
      <c r="E5" s="403">
        <v>2152505</v>
      </c>
      <c r="F5" s="201" t="s">
        <v>74</v>
      </c>
      <c r="G5" s="23">
        <v>4</v>
      </c>
      <c r="H5" s="23">
        <v>23</v>
      </c>
      <c r="I5" s="404">
        <f>AVERAGE(OpCost[[#This Row],[FY23 Operating Cost Performance]:[FY25 Operating Cost Performance]])</f>
        <v>2153544</v>
      </c>
    </row>
    <row r="6" spans="1:9">
      <c r="A6" s="208" t="s">
        <v>79</v>
      </c>
      <c r="B6" s="219">
        <v>476060</v>
      </c>
      <c r="C6" s="220">
        <v>456069</v>
      </c>
      <c r="D6" s="223">
        <v>447645</v>
      </c>
      <c r="E6" s="403">
        <v>458740</v>
      </c>
      <c r="F6" s="201" t="s">
        <v>74</v>
      </c>
      <c r="G6" s="23">
        <v>5</v>
      </c>
      <c r="H6" s="23">
        <v>36</v>
      </c>
      <c r="I6" s="404">
        <f>AVERAGE(OpCost[[#This Row],[FY23 Operating Cost Performance]:[FY25 Operating Cost Performance]])</f>
        <v>454151.33333333331</v>
      </c>
    </row>
    <row r="7" spans="1:9">
      <c r="A7" s="208" t="s">
        <v>81</v>
      </c>
      <c r="B7" s="228">
        <f>9197369+3756448</f>
        <v>12953817</v>
      </c>
      <c r="C7" s="229">
        <f>10488989+4264004</f>
        <v>14752993</v>
      </c>
      <c r="D7" s="223">
        <v>14481448</v>
      </c>
      <c r="E7" s="403">
        <v>19397700</v>
      </c>
      <c r="F7" s="201" t="s">
        <v>80</v>
      </c>
      <c r="G7" s="23">
        <v>6</v>
      </c>
      <c r="H7" s="23">
        <v>4</v>
      </c>
      <c r="I7" s="404">
        <f>AVERAGE(OpCost[[#This Row],[FY23 Operating Cost Performance]:[FY25 Operating Cost Performance]])</f>
        <v>16210713.666666666</v>
      </c>
    </row>
    <row r="8" spans="1:9">
      <c r="A8" s="208" t="s">
        <v>166</v>
      </c>
      <c r="B8" s="219">
        <v>4537045</v>
      </c>
      <c r="C8" s="220">
        <v>4568165</v>
      </c>
      <c r="D8" s="223">
        <v>5267046</v>
      </c>
      <c r="E8" s="403">
        <v>5394452</v>
      </c>
      <c r="F8" s="201" t="s">
        <v>82</v>
      </c>
      <c r="G8" s="23">
        <v>7</v>
      </c>
      <c r="H8" s="23">
        <v>15</v>
      </c>
      <c r="I8" s="404">
        <f>AVERAGE(OpCost[[#This Row],[FY23 Operating Cost Performance]:[FY25 Operating Cost Performance]])</f>
        <v>5076554.333333333</v>
      </c>
    </row>
    <row r="9" spans="1:9">
      <c r="A9" s="208" t="s">
        <v>85</v>
      </c>
      <c r="B9" s="219">
        <v>1726724</v>
      </c>
      <c r="C9" s="220">
        <v>1970225</v>
      </c>
      <c r="D9" s="223">
        <v>2126888</v>
      </c>
      <c r="E9" s="403">
        <v>2252994</v>
      </c>
      <c r="F9" s="201" t="s">
        <v>84</v>
      </c>
      <c r="G9" s="23">
        <v>8</v>
      </c>
      <c r="H9" s="23">
        <v>9</v>
      </c>
      <c r="I9" s="404">
        <f>AVERAGE(OpCost[[#This Row],[FY23 Operating Cost Performance]:[FY25 Operating Cost Performance]])</f>
        <v>2116702.3333333335</v>
      </c>
    </row>
    <row r="10" spans="1:9">
      <c r="A10" s="208" t="s">
        <v>86</v>
      </c>
      <c r="B10" s="219">
        <v>167538</v>
      </c>
      <c r="C10" s="220">
        <v>195234</v>
      </c>
      <c r="D10" s="223">
        <v>225862</v>
      </c>
      <c r="E10" s="403">
        <v>214513</v>
      </c>
      <c r="F10" s="201" t="s">
        <v>84</v>
      </c>
      <c r="G10" s="23">
        <v>9</v>
      </c>
      <c r="H10" s="23">
        <v>19</v>
      </c>
      <c r="I10" s="404">
        <f>AVERAGE(OpCost[[#This Row],[FY23 Operating Cost Performance]:[FY25 Operating Cost Performance]])</f>
        <v>211869.66666666666</v>
      </c>
    </row>
    <row r="11" spans="1:9">
      <c r="A11" s="208" t="s">
        <v>87</v>
      </c>
      <c r="B11" s="228">
        <v>99766003</v>
      </c>
      <c r="C11" s="220">
        <v>120169392</v>
      </c>
      <c r="D11" s="223">
        <v>129442718</v>
      </c>
      <c r="E11" s="403">
        <v>153334791</v>
      </c>
      <c r="F11" s="201" t="s">
        <v>84</v>
      </c>
      <c r="G11" s="23">
        <v>10</v>
      </c>
      <c r="H11" s="23">
        <v>20</v>
      </c>
      <c r="I11" s="404">
        <f>AVERAGE(OpCost[[#This Row],[FY23 Operating Cost Performance]:[FY25 Operating Cost Performance]])</f>
        <v>134315633.66666666</v>
      </c>
    </row>
    <row r="12" spans="1:9">
      <c r="A12" s="208" t="s">
        <v>88</v>
      </c>
      <c r="B12" s="219">
        <v>1200984</v>
      </c>
      <c r="C12" s="220">
        <v>1246809</v>
      </c>
      <c r="D12" s="223">
        <v>1347743</v>
      </c>
      <c r="E12" s="403">
        <v>1551122</v>
      </c>
      <c r="F12" s="201" t="s">
        <v>84</v>
      </c>
      <c r="G12" s="23">
        <v>11</v>
      </c>
      <c r="H12" s="23">
        <v>31</v>
      </c>
      <c r="I12" s="404">
        <f>AVERAGE(OpCost[[#This Row],[FY23 Operating Cost Performance]:[FY25 Operating Cost Performance]])</f>
        <v>1381891.3333333333</v>
      </c>
    </row>
    <row r="13" spans="1:9">
      <c r="A13" s="208" t="s">
        <v>89</v>
      </c>
      <c r="B13" s="219">
        <v>67079</v>
      </c>
      <c r="C13" s="220">
        <v>50424</v>
      </c>
      <c r="D13" s="223">
        <v>71294</v>
      </c>
      <c r="E13" s="403">
        <v>83950</v>
      </c>
      <c r="F13" s="201" t="s">
        <v>84</v>
      </c>
      <c r="G13" s="23">
        <v>12</v>
      </c>
      <c r="H13" s="23">
        <v>37</v>
      </c>
      <c r="I13" s="404">
        <f>AVERAGE(OpCost[[#This Row],[FY23 Operating Cost Performance]:[FY25 Operating Cost Performance]])</f>
        <v>68556</v>
      </c>
    </row>
    <row r="14" spans="1:9">
      <c r="A14" s="208" t="s">
        <v>90</v>
      </c>
      <c r="B14" s="228">
        <v>7464284</v>
      </c>
      <c r="C14" s="220">
        <v>7910674</v>
      </c>
      <c r="D14" s="223">
        <f>6690672+1079205</f>
        <v>7769877</v>
      </c>
      <c r="E14" s="403">
        <v>8890738</v>
      </c>
      <c r="F14" s="201" t="s">
        <v>84</v>
      </c>
      <c r="G14" s="23">
        <v>13</v>
      </c>
      <c r="H14" s="23">
        <v>39</v>
      </c>
      <c r="I14" s="404">
        <f>AVERAGE(OpCost[[#This Row],[FY23 Operating Cost Performance]:[FY25 Operating Cost Performance]])</f>
        <v>8190429.666666667</v>
      </c>
    </row>
    <row r="15" spans="1:9">
      <c r="A15" s="208" t="s">
        <v>92</v>
      </c>
      <c r="B15" s="219">
        <v>3169013</v>
      </c>
      <c r="C15" s="220">
        <v>3679008</v>
      </c>
      <c r="D15" s="223">
        <v>4067447</v>
      </c>
      <c r="E15" s="403">
        <v>4097893</v>
      </c>
      <c r="F15" s="201" t="s">
        <v>91</v>
      </c>
      <c r="G15" s="23">
        <v>14</v>
      </c>
      <c r="H15" s="23">
        <v>12</v>
      </c>
      <c r="I15" s="404">
        <f>AVERAGE(OpCost[[#This Row],[FY23 Operating Cost Performance]:[FY25 Operating Cost Performance]])</f>
        <v>3948116</v>
      </c>
    </row>
    <row r="16" spans="1:9">
      <c r="A16" s="208" t="s">
        <v>93</v>
      </c>
      <c r="B16" s="219">
        <v>605988</v>
      </c>
      <c r="C16" s="220">
        <v>703038</v>
      </c>
      <c r="D16" s="408">
        <v>698366</v>
      </c>
      <c r="E16" s="403">
        <v>749264</v>
      </c>
      <c r="F16" s="201" t="s">
        <v>91</v>
      </c>
      <c r="G16" s="23">
        <v>15</v>
      </c>
      <c r="H16" s="23">
        <v>14</v>
      </c>
      <c r="I16" s="404">
        <f>AVERAGE(OpCost[[#This Row],[FY23 Operating Cost Performance]:[FY25 Operating Cost Performance]])</f>
        <v>716889.33333333337</v>
      </c>
    </row>
    <row r="17" spans="1:9">
      <c r="A17" s="208" t="s">
        <v>94</v>
      </c>
      <c r="B17" s="219">
        <v>7696112</v>
      </c>
      <c r="C17" s="220">
        <v>8675119</v>
      </c>
      <c r="D17" s="223">
        <v>9003000</v>
      </c>
      <c r="E17" s="403">
        <v>9104264</v>
      </c>
      <c r="F17" s="201" t="s">
        <v>91</v>
      </c>
      <c r="G17" s="23">
        <v>16</v>
      </c>
      <c r="H17" s="23">
        <v>16</v>
      </c>
      <c r="I17" s="404">
        <f>AVERAGE(OpCost[[#This Row],[FY23 Operating Cost Performance]:[FY25 Operating Cost Performance]])</f>
        <v>8927461</v>
      </c>
    </row>
    <row r="18" spans="1:9">
      <c r="A18" s="208" t="s">
        <v>95</v>
      </c>
      <c r="B18" s="219">
        <v>107836</v>
      </c>
      <c r="C18" s="220">
        <v>177251</v>
      </c>
      <c r="D18" s="408">
        <v>165710</v>
      </c>
      <c r="E18" s="403">
        <v>176795</v>
      </c>
      <c r="F18" s="201" t="s">
        <v>91</v>
      </c>
      <c r="G18" s="23">
        <v>17</v>
      </c>
      <c r="H18" s="23">
        <v>32</v>
      </c>
      <c r="I18" s="404">
        <f>AVERAGE(OpCost[[#This Row],[FY23 Operating Cost Performance]:[FY25 Operating Cost Performance]])</f>
        <v>173252</v>
      </c>
    </row>
    <row r="19" spans="1:9">
      <c r="A19" s="208" t="s">
        <v>165</v>
      </c>
      <c r="B19" s="219">
        <v>15647246</v>
      </c>
      <c r="C19" s="220">
        <v>18874570</v>
      </c>
      <c r="D19" s="408">
        <v>25291520</v>
      </c>
      <c r="E19" s="403">
        <v>27572539</v>
      </c>
      <c r="F19" s="201" t="s">
        <v>96</v>
      </c>
      <c r="G19" s="23">
        <v>18</v>
      </c>
      <c r="H19" s="23">
        <v>11</v>
      </c>
      <c r="I19" s="404">
        <f>AVERAGE(OpCost[[#This Row],[FY23 Operating Cost Performance]:[FY25 Operating Cost Performance]])</f>
        <v>23912876.333333332</v>
      </c>
    </row>
    <row r="20" spans="1:9">
      <c r="A20" s="208" t="s">
        <v>98</v>
      </c>
      <c r="B20" s="219">
        <v>26239078</v>
      </c>
      <c r="C20" s="220">
        <v>23750125</v>
      </c>
      <c r="D20" s="408">
        <v>28281032</v>
      </c>
      <c r="E20" s="403">
        <v>27825334</v>
      </c>
      <c r="F20" s="201" t="s">
        <v>96</v>
      </c>
      <c r="G20" s="23">
        <v>19</v>
      </c>
      <c r="H20" s="23">
        <v>24</v>
      </c>
      <c r="I20" s="404">
        <f>AVERAGE(OpCost[[#This Row],[FY23 Operating Cost Performance]:[FY25 Operating Cost Performance]])</f>
        <v>26618830.333333332</v>
      </c>
    </row>
    <row r="21" spans="1:9">
      <c r="A21" s="208" t="s">
        <v>99</v>
      </c>
      <c r="B21" s="219">
        <v>27269531</v>
      </c>
      <c r="C21" s="220">
        <v>32028446</v>
      </c>
      <c r="D21" s="408">
        <v>36047232</v>
      </c>
      <c r="E21" s="403">
        <v>31465620</v>
      </c>
      <c r="F21" s="201" t="s">
        <v>96</v>
      </c>
      <c r="G21" s="23">
        <v>20</v>
      </c>
      <c r="H21" s="23">
        <v>25</v>
      </c>
      <c r="I21" s="404">
        <f>AVERAGE(OpCost[[#This Row],[FY23 Operating Cost Performance]:[FY25 Operating Cost Performance]])</f>
        <v>33180432.666666668</v>
      </c>
    </row>
    <row r="22" spans="1:9">
      <c r="A22" s="208" t="s">
        <v>100</v>
      </c>
      <c r="B22" s="219">
        <v>5346157</v>
      </c>
      <c r="C22" s="220">
        <v>5328325</v>
      </c>
      <c r="D22" s="408">
        <v>5453602</v>
      </c>
      <c r="E22" s="403">
        <v>5702607</v>
      </c>
      <c r="F22" s="201" t="s">
        <v>96</v>
      </c>
      <c r="G22" s="23">
        <v>21</v>
      </c>
      <c r="H22" s="23">
        <v>26</v>
      </c>
      <c r="I22" s="404">
        <f>AVERAGE(OpCost[[#This Row],[FY23 Operating Cost Performance]:[FY25 Operating Cost Performance]])</f>
        <v>5494844.666666667</v>
      </c>
    </row>
    <row r="23" spans="1:9">
      <c r="A23" s="208" t="s">
        <v>101</v>
      </c>
      <c r="B23" s="219">
        <v>103826125</v>
      </c>
      <c r="C23" s="220">
        <v>108453691</v>
      </c>
      <c r="D23" s="223">
        <v>111168383</v>
      </c>
      <c r="E23" s="403">
        <v>135419722</v>
      </c>
      <c r="F23" s="201" t="s">
        <v>96</v>
      </c>
      <c r="G23" s="23">
        <v>22</v>
      </c>
      <c r="H23" s="23">
        <v>27</v>
      </c>
      <c r="I23" s="404">
        <f>AVERAGE(OpCost[[#This Row],[FY23 Operating Cost Performance]:[FY25 Operating Cost Performance]])</f>
        <v>118347265.33333333</v>
      </c>
    </row>
    <row r="24" spans="1:9">
      <c r="A24" s="208" t="s">
        <v>102</v>
      </c>
      <c r="B24" s="219">
        <v>39737337</v>
      </c>
      <c r="C24" s="220">
        <v>45655907</v>
      </c>
      <c r="D24" s="223">
        <v>49463221</v>
      </c>
      <c r="E24" s="403">
        <v>56380235</v>
      </c>
      <c r="F24" s="201" t="s">
        <v>96</v>
      </c>
      <c r="G24" s="23">
        <v>23</v>
      </c>
      <c r="H24" s="23">
        <v>28</v>
      </c>
      <c r="I24" s="404">
        <f>AVERAGE(OpCost[[#This Row],[FY23 Operating Cost Performance]:[FY25 Operating Cost Performance]])</f>
        <v>50499787.666666664</v>
      </c>
    </row>
    <row r="25" spans="1:9">
      <c r="A25" s="208" t="s">
        <v>104</v>
      </c>
      <c r="B25" s="219">
        <v>4080556</v>
      </c>
      <c r="C25" s="220">
        <v>4736557</v>
      </c>
      <c r="D25" s="408">
        <v>3929042</v>
      </c>
      <c r="E25" s="403">
        <v>5582819</v>
      </c>
      <c r="F25" s="201" t="s">
        <v>103</v>
      </c>
      <c r="G25" s="23">
        <v>24</v>
      </c>
      <c r="H25" s="23">
        <v>7</v>
      </c>
      <c r="I25" s="404">
        <f>AVERAGE(OpCost[[#This Row],[FY23 Operating Cost Performance]:[FY25 Operating Cost Performance]])</f>
        <v>4749472.666666667</v>
      </c>
    </row>
    <row r="26" spans="1:9">
      <c r="A26" s="208" t="s">
        <v>105</v>
      </c>
      <c r="B26" s="219">
        <v>58367488</v>
      </c>
      <c r="C26" s="220">
        <v>68802962</v>
      </c>
      <c r="D26" s="223">
        <v>76532753</v>
      </c>
      <c r="E26" s="403">
        <v>83270105</v>
      </c>
      <c r="F26" s="201" t="s">
        <v>103</v>
      </c>
      <c r="G26" s="23">
        <v>25</v>
      </c>
      <c r="H26" s="23">
        <v>17</v>
      </c>
      <c r="I26" s="404">
        <f>AVERAGE(OpCost[[#This Row],[FY23 Operating Cost Performance]:[FY25 Operating Cost Performance]])</f>
        <v>76201940</v>
      </c>
    </row>
    <row r="27" spans="1:9">
      <c r="A27" s="208" t="s">
        <v>173</v>
      </c>
      <c r="B27" s="219">
        <v>0</v>
      </c>
      <c r="C27" s="220">
        <v>111562</v>
      </c>
      <c r="D27" s="223">
        <v>165644</v>
      </c>
      <c r="E27" s="403">
        <v>174101</v>
      </c>
      <c r="F27" s="201" t="s">
        <v>106</v>
      </c>
      <c r="G27" s="23">
        <v>26</v>
      </c>
      <c r="H27" s="23">
        <v>33</v>
      </c>
      <c r="I27" s="404">
        <f>AVERAGE(OpCost[[#This Row],[FY23 Operating Cost Performance]:[FY25 Operating Cost Performance]])</f>
        <v>150435.66666666666</v>
      </c>
    </row>
    <row r="28" spans="1:9">
      <c r="A28" s="208" t="s">
        <v>170</v>
      </c>
      <c r="B28" s="219">
        <v>10001495</v>
      </c>
      <c r="C28" s="220">
        <v>12020724</v>
      </c>
      <c r="D28" s="223">
        <v>12808994</v>
      </c>
      <c r="E28" s="403">
        <v>14038846</v>
      </c>
      <c r="F28" s="201" t="s">
        <v>106</v>
      </c>
      <c r="G28" s="23">
        <v>27</v>
      </c>
      <c r="H28" s="23">
        <v>34</v>
      </c>
      <c r="I28" s="404">
        <f>AVERAGE(OpCost[[#This Row],[FY23 Operating Cost Performance]:[FY25 Operating Cost Performance]])</f>
        <v>12956188</v>
      </c>
    </row>
    <row r="29" spans="1:9">
      <c r="A29" s="208" t="s">
        <v>108</v>
      </c>
      <c r="B29" s="219">
        <v>1758084</v>
      </c>
      <c r="C29" s="220">
        <v>2609867</v>
      </c>
      <c r="D29" s="223">
        <v>2846110</v>
      </c>
      <c r="E29" s="403">
        <v>2810399</v>
      </c>
      <c r="F29" s="201" t="s">
        <v>106</v>
      </c>
      <c r="G29" s="23">
        <v>28</v>
      </c>
      <c r="H29" s="23">
        <v>8</v>
      </c>
      <c r="I29" s="404">
        <f>AVERAGE(OpCost[[#This Row],[FY23 Operating Cost Performance]:[FY25 Operating Cost Performance]])</f>
        <v>2755458.6666666665</v>
      </c>
    </row>
    <row r="30" spans="1:9">
      <c r="A30" s="208" t="s">
        <v>109</v>
      </c>
      <c r="B30" s="219">
        <v>10624308</v>
      </c>
      <c r="C30" s="409">
        <v>12745096</v>
      </c>
      <c r="D30" s="223">
        <f>12857237+1465494</f>
        <v>14322731</v>
      </c>
      <c r="E30" s="403">
        <v>11966953</v>
      </c>
      <c r="F30" s="201" t="s">
        <v>106</v>
      </c>
      <c r="G30" s="23">
        <v>29</v>
      </c>
      <c r="H30" s="23">
        <v>18</v>
      </c>
      <c r="I30" s="404">
        <f>AVERAGE(OpCost[[#This Row],[FY23 Operating Cost Performance]:[FY25 Operating Cost Performance]])</f>
        <v>13011593.333333334</v>
      </c>
    </row>
    <row r="31" spans="1:9">
      <c r="A31" s="208" t="s">
        <v>110</v>
      </c>
      <c r="B31" s="219">
        <v>788081</v>
      </c>
      <c r="C31" s="220">
        <v>736481</v>
      </c>
      <c r="D31" s="408">
        <v>744369</v>
      </c>
      <c r="E31" s="403">
        <v>872107</v>
      </c>
      <c r="F31" s="201" t="s">
        <v>106</v>
      </c>
      <c r="G31" s="23">
        <v>30</v>
      </c>
      <c r="H31" s="23">
        <v>29</v>
      </c>
      <c r="I31" s="404">
        <f>AVERAGE(OpCost[[#This Row],[FY23 Operating Cost Performance]:[FY25 Operating Cost Performance]])</f>
        <v>784319</v>
      </c>
    </row>
    <row r="32" spans="1:9">
      <c r="A32" s="208" t="s">
        <v>112</v>
      </c>
      <c r="B32" s="219">
        <v>2522688</v>
      </c>
      <c r="C32" s="220">
        <v>3047407</v>
      </c>
      <c r="D32" s="223">
        <f>2020842+1345880</f>
        <v>3366722</v>
      </c>
      <c r="E32" s="403">
        <v>3322249</v>
      </c>
      <c r="F32" s="201" t="s">
        <v>111</v>
      </c>
      <c r="G32" s="23">
        <v>31</v>
      </c>
      <c r="H32" s="23">
        <v>3</v>
      </c>
      <c r="I32" s="404">
        <f>AVERAGE(OpCost[[#This Row],[FY23 Operating Cost Performance]:[FY25 Operating Cost Performance]])</f>
        <v>3245459.3333333335</v>
      </c>
    </row>
    <row r="33" spans="1:12 16384:16384">
      <c r="A33" s="208" t="s">
        <v>113</v>
      </c>
      <c r="B33" s="219">
        <v>5960670</v>
      </c>
      <c r="C33" s="220">
        <v>6578658</v>
      </c>
      <c r="D33" s="223">
        <v>7435602</v>
      </c>
      <c r="E33" s="403">
        <v>7574503</v>
      </c>
      <c r="F33" s="201" t="s">
        <v>111</v>
      </c>
      <c r="G33" s="23">
        <v>32</v>
      </c>
      <c r="H33" s="23">
        <v>6</v>
      </c>
      <c r="I33" s="404">
        <f>AVERAGE(OpCost[[#This Row],[FY23 Operating Cost Performance]:[FY25 Operating Cost Performance]])</f>
        <v>7196254.333333333</v>
      </c>
    </row>
    <row r="34" spans="1:12 16384:16384">
      <c r="A34" s="208" t="s">
        <v>114</v>
      </c>
      <c r="B34" s="219">
        <v>1423713</v>
      </c>
      <c r="C34" s="220">
        <v>1923269</v>
      </c>
      <c r="D34" s="223">
        <v>2380653</v>
      </c>
      <c r="E34" s="403">
        <v>2625519</v>
      </c>
      <c r="F34" s="201" t="s">
        <v>111</v>
      </c>
      <c r="G34" s="23">
        <v>33</v>
      </c>
      <c r="H34" s="23">
        <v>10</v>
      </c>
      <c r="I34" s="404">
        <f>AVERAGE(OpCost[[#This Row],[FY23 Operating Cost Performance]:[FY25 Operating Cost Performance]])</f>
        <v>2309813.6666666665</v>
      </c>
    </row>
    <row r="35" spans="1:12 16384:16384">
      <c r="A35" s="208" t="s">
        <v>116</v>
      </c>
      <c r="B35" s="219">
        <v>4637640</v>
      </c>
      <c r="C35" s="220">
        <v>5000804</v>
      </c>
      <c r="D35" s="223">
        <v>5803873</v>
      </c>
      <c r="E35" s="403">
        <v>5545950</v>
      </c>
      <c r="F35" s="201" t="s">
        <v>115</v>
      </c>
      <c r="G35" s="23">
        <v>34</v>
      </c>
      <c r="H35" s="23">
        <v>2</v>
      </c>
      <c r="I35" s="404">
        <f>AVERAGE(OpCost[[#This Row],[FY23 Operating Cost Performance]:[FY25 Operating Cost Performance]])</f>
        <v>5450209</v>
      </c>
    </row>
    <row r="36" spans="1:12 16384:16384">
      <c r="A36" s="208" t="s">
        <v>171</v>
      </c>
      <c r="B36" s="219">
        <v>573381</v>
      </c>
      <c r="C36" s="220">
        <v>716454</v>
      </c>
      <c r="D36" s="408">
        <v>604843</v>
      </c>
      <c r="E36" s="403">
        <v>537911</v>
      </c>
      <c r="F36" s="201" t="s">
        <v>115</v>
      </c>
      <c r="G36" s="23">
        <v>35</v>
      </c>
      <c r="H36" s="23">
        <v>35</v>
      </c>
      <c r="I36" s="404">
        <f>AVERAGE(OpCost[[#This Row],[FY23 Operating Cost Performance]:[FY25 Operating Cost Performance]])</f>
        <v>619736</v>
      </c>
      <c r="K36"/>
      <c r="L36"/>
    </row>
    <row r="37" spans="1:12 16384:16384">
      <c r="A37" s="208" t="s">
        <v>167</v>
      </c>
      <c r="B37" s="228">
        <f>7674872-3756448</f>
        <v>3918424</v>
      </c>
      <c r="C37" s="229">
        <f>8616129-4264004</f>
        <v>4352125</v>
      </c>
      <c r="D37" s="223">
        <v>5022923</v>
      </c>
      <c r="E37" s="403">
        <v>5142066</v>
      </c>
      <c r="F37" s="201" t="s">
        <v>115</v>
      </c>
      <c r="G37" s="23">
        <v>36</v>
      </c>
      <c r="H37" s="23">
        <v>21</v>
      </c>
      <c r="I37" s="404">
        <f>AVERAGE(OpCost[[#This Row],[FY23 Operating Cost Performance]:[FY25 Operating Cost Performance]])</f>
        <v>4839038</v>
      </c>
      <c r="J37"/>
    </row>
    <row r="38" spans="1:12 16384:16384">
      <c r="A38" s="208" t="s">
        <v>168</v>
      </c>
      <c r="B38" s="219">
        <v>162010</v>
      </c>
      <c r="C38" s="220">
        <v>170603</v>
      </c>
      <c r="D38" s="223">
        <v>457239</v>
      </c>
      <c r="E38" s="403">
        <v>705021</v>
      </c>
      <c r="F38" s="201" t="s">
        <v>115</v>
      </c>
      <c r="G38" s="23">
        <v>37</v>
      </c>
      <c r="H38" s="23">
        <v>22</v>
      </c>
      <c r="I38" s="404">
        <f>AVERAGE(OpCost[[#This Row],[FY23 Operating Cost Performance]:[FY25 Operating Cost Performance]])</f>
        <v>444287.66666666669</v>
      </c>
    </row>
    <row r="39" spans="1:12 16384:16384">
      <c r="A39" s="208" t="s">
        <v>169</v>
      </c>
      <c r="B39" s="219">
        <v>1442390</v>
      </c>
      <c r="C39" s="220">
        <v>1347958</v>
      </c>
      <c r="D39" s="408">
        <v>1220651</v>
      </c>
      <c r="E39" s="403">
        <v>1208220</v>
      </c>
      <c r="F39" s="201" t="s">
        <v>115</v>
      </c>
      <c r="G39" s="23">
        <v>38</v>
      </c>
      <c r="H39" s="23">
        <v>30</v>
      </c>
      <c r="I39" s="404">
        <f>AVERAGE(OpCost[[#This Row],[FY23 Operating Cost Performance]:[FY25 Operating Cost Performance]])</f>
        <v>1258943</v>
      </c>
    </row>
    <row r="40" spans="1:12 16384:16384">
      <c r="A40" s="208" t="s">
        <v>172</v>
      </c>
      <c r="B40" s="219">
        <v>4022350</v>
      </c>
      <c r="C40" s="220">
        <v>4658904</v>
      </c>
      <c r="D40" s="223">
        <v>4896193</v>
      </c>
      <c r="E40" s="403">
        <v>5119725</v>
      </c>
      <c r="F40" s="201" t="s">
        <v>115</v>
      </c>
      <c r="G40" s="23">
        <v>39</v>
      </c>
      <c r="H40" s="23">
        <v>38</v>
      </c>
      <c r="I40" s="404">
        <f>AVERAGE(OpCost[[#This Row],[FY23 Operating Cost Performance]:[FY25 Operating Cost Performance]])</f>
        <v>4891607.333333333</v>
      </c>
    </row>
    <row r="41" spans="1:12 16384:16384">
      <c r="A41" s="208" t="s">
        <v>125</v>
      </c>
      <c r="B41" s="410">
        <f>SUM(B2:B40)</f>
        <v>475837705</v>
      </c>
      <c r="C41" s="221">
        <f>SUM(C2:C40)</f>
        <v>535957762</v>
      </c>
      <c r="D41" s="222">
        <f>SUM(D2:D40)</f>
        <v>581427512</v>
      </c>
      <c r="E41" s="222">
        <f>SUM(E2:E40)</f>
        <v>648731914</v>
      </c>
      <c r="F41" s="217" t="s">
        <v>134</v>
      </c>
      <c r="G41" s="26" t="s">
        <v>134</v>
      </c>
      <c r="H41" s="218" t="s">
        <v>134</v>
      </c>
    </row>
    <row r="42" spans="1:12 16384:16384">
      <c r="B42" s="25"/>
      <c r="C42" s="411"/>
      <c r="D42" s="411"/>
      <c r="XFD42" s="230" t="e">
        <f>(XFD41-XFC41)/XFC41</f>
        <v>#DIV/0!</v>
      </c>
    </row>
  </sheetData>
  <sheetProtection sheet="1" objects="1" scenarios="1"/>
  <pageMargins left="0.25" right="0.25" top="0.75" bottom="0.75" header="0.3" footer="0.3"/>
  <pageSetup scale="78" orientation="portrait"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452C-DE76-4A03-A2F5-000A2080ACBB}">
  <sheetPr>
    <pageSetUpPr fitToPage="1"/>
  </sheetPr>
  <dimension ref="A1:E41"/>
  <sheetViews>
    <sheetView zoomScaleNormal="100" workbookViewId="0">
      <selection activeCell="A3" sqref="A1:L1048576"/>
    </sheetView>
  </sheetViews>
  <sheetFormatPr defaultColWidth="9.26953125" defaultRowHeight="16"/>
  <cols>
    <col min="1" max="1" width="46.7265625" style="23" bestFit="1" customWidth="1"/>
    <col min="2" max="2" width="23.7265625" style="23" bestFit="1" customWidth="1"/>
    <col min="3" max="3" width="19.26953125" style="23" customWidth="1"/>
    <col min="4" max="4" width="12.81640625" style="23" bestFit="1" customWidth="1"/>
    <col min="5" max="5" width="18.26953125" style="23" customWidth="1"/>
    <col min="6" max="16384" width="9.26953125" style="23"/>
  </cols>
  <sheetData>
    <row r="1" spans="1:5">
      <c r="A1" s="214" t="s">
        <v>124</v>
      </c>
      <c r="B1" s="412" t="s">
        <v>156</v>
      </c>
      <c r="C1" s="214" t="s">
        <v>14</v>
      </c>
      <c r="D1" s="214" t="s">
        <v>142</v>
      </c>
      <c r="E1" s="214" t="s">
        <v>143</v>
      </c>
    </row>
    <row r="2" spans="1:5">
      <c r="A2" s="208" t="s">
        <v>75</v>
      </c>
      <c r="B2" s="413"/>
      <c r="C2" s="201" t="s">
        <v>74</v>
      </c>
      <c r="D2" s="23">
        <v>1</v>
      </c>
      <c r="E2" s="23">
        <v>1</v>
      </c>
    </row>
    <row r="3" spans="1:5">
      <c r="A3" s="208" t="s">
        <v>76</v>
      </c>
      <c r="B3" s="414"/>
      <c r="C3" s="201" t="s">
        <v>74</v>
      </c>
      <c r="D3" s="23">
        <v>2</v>
      </c>
      <c r="E3" s="23">
        <v>5</v>
      </c>
    </row>
    <row r="4" spans="1:5">
      <c r="A4" s="208" t="s">
        <v>77</v>
      </c>
      <c r="B4" s="414"/>
      <c r="C4" s="201" t="s">
        <v>74</v>
      </c>
      <c r="D4" s="23">
        <v>3</v>
      </c>
      <c r="E4" s="23">
        <v>13</v>
      </c>
    </row>
    <row r="5" spans="1:5">
      <c r="A5" s="208" t="s">
        <v>78</v>
      </c>
      <c r="B5" s="413"/>
      <c r="C5" s="201" t="s">
        <v>74</v>
      </c>
      <c r="D5" s="23">
        <v>4</v>
      </c>
      <c r="E5" s="23">
        <v>23</v>
      </c>
    </row>
    <row r="6" spans="1:5">
      <c r="A6" s="208" t="s">
        <v>79</v>
      </c>
      <c r="B6" s="413"/>
      <c r="C6" s="201" t="s">
        <v>74</v>
      </c>
      <c r="D6" s="23">
        <v>5</v>
      </c>
      <c r="E6" s="23">
        <v>36</v>
      </c>
    </row>
    <row r="7" spans="1:5">
      <c r="A7" s="208" t="s">
        <v>81</v>
      </c>
      <c r="B7" s="413"/>
      <c r="C7" s="201" t="s">
        <v>80</v>
      </c>
      <c r="D7" s="23">
        <v>6</v>
      </c>
      <c r="E7" s="23">
        <v>4</v>
      </c>
    </row>
    <row r="8" spans="1:5">
      <c r="A8" s="208" t="s">
        <v>166</v>
      </c>
      <c r="B8" s="413"/>
      <c r="C8" s="201" t="s">
        <v>82</v>
      </c>
      <c r="D8" s="23">
        <v>7</v>
      </c>
      <c r="E8" s="23">
        <v>15</v>
      </c>
    </row>
    <row r="9" spans="1:5">
      <c r="A9" s="208" t="s">
        <v>85</v>
      </c>
      <c r="B9" s="413"/>
      <c r="C9" s="201" t="s">
        <v>84</v>
      </c>
      <c r="D9" s="23">
        <v>8</v>
      </c>
      <c r="E9" s="23">
        <v>9</v>
      </c>
    </row>
    <row r="10" spans="1:5">
      <c r="A10" s="208" t="s">
        <v>86</v>
      </c>
      <c r="B10" s="413"/>
      <c r="C10" s="201" t="s">
        <v>84</v>
      </c>
      <c r="D10" s="23">
        <v>9</v>
      </c>
      <c r="E10" s="23">
        <v>19</v>
      </c>
    </row>
    <row r="11" spans="1:5">
      <c r="A11" s="208" t="s">
        <v>87</v>
      </c>
      <c r="B11" s="413"/>
      <c r="C11" s="201" t="s">
        <v>84</v>
      </c>
      <c r="D11" s="23">
        <v>10</v>
      </c>
      <c r="E11" s="23">
        <v>20</v>
      </c>
    </row>
    <row r="12" spans="1:5">
      <c r="A12" s="208" t="s">
        <v>88</v>
      </c>
      <c r="B12" s="413"/>
      <c r="C12" s="201" t="s">
        <v>84</v>
      </c>
      <c r="D12" s="23">
        <v>11</v>
      </c>
      <c r="E12" s="23">
        <v>31</v>
      </c>
    </row>
    <row r="13" spans="1:5">
      <c r="A13" s="208" t="s">
        <v>89</v>
      </c>
      <c r="B13" s="413"/>
      <c r="C13" s="201" t="s">
        <v>84</v>
      </c>
      <c r="D13" s="23">
        <v>12</v>
      </c>
      <c r="E13" s="23">
        <v>37</v>
      </c>
    </row>
    <row r="14" spans="1:5">
      <c r="A14" s="208" t="s">
        <v>90</v>
      </c>
      <c r="B14" s="413"/>
      <c r="C14" s="201" t="s">
        <v>84</v>
      </c>
      <c r="D14" s="23">
        <v>13</v>
      </c>
      <c r="E14" s="23">
        <v>39</v>
      </c>
    </row>
    <row r="15" spans="1:5">
      <c r="A15" s="208" t="s">
        <v>92</v>
      </c>
      <c r="B15" s="413"/>
      <c r="C15" s="201" t="s">
        <v>91</v>
      </c>
      <c r="D15" s="23">
        <v>14</v>
      </c>
      <c r="E15" s="23">
        <v>12</v>
      </c>
    </row>
    <row r="16" spans="1:5">
      <c r="A16" s="208" t="s">
        <v>93</v>
      </c>
      <c r="B16" s="414"/>
      <c r="C16" s="201" t="s">
        <v>91</v>
      </c>
      <c r="D16" s="23">
        <v>15</v>
      </c>
      <c r="E16" s="23">
        <v>14</v>
      </c>
    </row>
    <row r="17" spans="1:5">
      <c r="A17" s="208" t="s">
        <v>94</v>
      </c>
      <c r="B17" s="413"/>
      <c r="C17" s="201" t="s">
        <v>91</v>
      </c>
      <c r="D17" s="23">
        <v>16</v>
      </c>
      <c r="E17" s="23">
        <v>16</v>
      </c>
    </row>
    <row r="18" spans="1:5">
      <c r="A18" s="208" t="s">
        <v>95</v>
      </c>
      <c r="B18" s="414"/>
      <c r="C18" s="201" t="s">
        <v>91</v>
      </c>
      <c r="D18" s="23">
        <v>17</v>
      </c>
      <c r="E18" s="23">
        <v>32</v>
      </c>
    </row>
    <row r="19" spans="1:5">
      <c r="A19" s="208" t="s">
        <v>165</v>
      </c>
      <c r="B19" s="414"/>
      <c r="C19" s="201" t="s">
        <v>96</v>
      </c>
      <c r="D19" s="23">
        <v>18</v>
      </c>
      <c r="E19" s="23">
        <v>11</v>
      </c>
    </row>
    <row r="20" spans="1:5">
      <c r="A20" s="208" t="s">
        <v>98</v>
      </c>
      <c r="B20" s="414"/>
      <c r="C20" s="201" t="s">
        <v>96</v>
      </c>
      <c r="D20" s="23">
        <v>19</v>
      </c>
      <c r="E20" s="23">
        <v>24</v>
      </c>
    </row>
    <row r="21" spans="1:5">
      <c r="A21" s="208" t="s">
        <v>99</v>
      </c>
      <c r="B21" s="414"/>
      <c r="C21" s="201" t="s">
        <v>96</v>
      </c>
      <c r="D21" s="23">
        <v>20</v>
      </c>
      <c r="E21" s="23">
        <v>25</v>
      </c>
    </row>
    <row r="22" spans="1:5">
      <c r="A22" s="208" t="s">
        <v>100</v>
      </c>
      <c r="B22" s="414"/>
      <c r="C22" s="201" t="s">
        <v>96</v>
      </c>
      <c r="D22" s="23">
        <v>21</v>
      </c>
      <c r="E22" s="23">
        <v>26</v>
      </c>
    </row>
    <row r="23" spans="1:5">
      <c r="A23" s="208" t="s">
        <v>101</v>
      </c>
      <c r="B23" s="413"/>
      <c r="C23" s="201" t="s">
        <v>96</v>
      </c>
      <c r="D23" s="23">
        <v>22</v>
      </c>
      <c r="E23" s="23">
        <v>27</v>
      </c>
    </row>
    <row r="24" spans="1:5">
      <c r="A24" s="208" t="s">
        <v>102</v>
      </c>
      <c r="B24" s="413"/>
      <c r="C24" s="201" t="s">
        <v>96</v>
      </c>
      <c r="D24" s="23">
        <v>23</v>
      </c>
      <c r="E24" s="23">
        <v>28</v>
      </c>
    </row>
    <row r="25" spans="1:5">
      <c r="A25" s="208" t="s">
        <v>104</v>
      </c>
      <c r="B25" s="414"/>
      <c r="C25" s="201" t="s">
        <v>103</v>
      </c>
      <c r="D25" s="23">
        <v>24</v>
      </c>
      <c r="E25" s="23">
        <v>7</v>
      </c>
    </row>
    <row r="26" spans="1:5">
      <c r="A26" s="208" t="s">
        <v>105</v>
      </c>
      <c r="B26" s="413"/>
      <c r="C26" s="201" t="s">
        <v>103</v>
      </c>
      <c r="D26" s="23">
        <v>25</v>
      </c>
      <c r="E26" s="23">
        <v>17</v>
      </c>
    </row>
    <row r="27" spans="1:5">
      <c r="A27" s="208" t="s">
        <v>173</v>
      </c>
      <c r="B27" s="415"/>
      <c r="C27" s="201" t="s">
        <v>106</v>
      </c>
      <c r="D27" s="23">
        <v>26</v>
      </c>
      <c r="E27" s="23">
        <v>33</v>
      </c>
    </row>
    <row r="28" spans="1:5">
      <c r="A28" s="208" t="s">
        <v>170</v>
      </c>
      <c r="B28" s="413"/>
      <c r="C28" s="201" t="s">
        <v>106</v>
      </c>
      <c r="D28" s="23">
        <v>27</v>
      </c>
      <c r="E28" s="23">
        <v>34</v>
      </c>
    </row>
    <row r="29" spans="1:5">
      <c r="A29" s="208" t="s">
        <v>108</v>
      </c>
      <c r="B29" s="413"/>
      <c r="C29" s="201" t="s">
        <v>106</v>
      </c>
      <c r="D29" s="23">
        <v>28</v>
      </c>
      <c r="E29" s="23">
        <v>8</v>
      </c>
    </row>
    <row r="30" spans="1:5">
      <c r="A30" s="208" t="s">
        <v>109</v>
      </c>
      <c r="B30" s="413"/>
      <c r="C30" s="201" t="s">
        <v>106</v>
      </c>
      <c r="D30" s="23">
        <v>29</v>
      </c>
      <c r="E30" s="23">
        <v>18</v>
      </c>
    </row>
    <row r="31" spans="1:5">
      <c r="A31" s="208" t="s">
        <v>110</v>
      </c>
      <c r="B31" s="414"/>
      <c r="C31" s="201" t="s">
        <v>106</v>
      </c>
      <c r="D31" s="23">
        <v>30</v>
      </c>
      <c r="E31" s="23">
        <v>29</v>
      </c>
    </row>
    <row r="32" spans="1:5">
      <c r="A32" s="208" t="s">
        <v>112</v>
      </c>
      <c r="B32" s="413"/>
      <c r="C32" s="201" t="s">
        <v>111</v>
      </c>
      <c r="D32" s="23">
        <v>31</v>
      </c>
      <c r="E32" s="23">
        <v>3</v>
      </c>
    </row>
    <row r="33" spans="1:5">
      <c r="A33" s="208" t="s">
        <v>113</v>
      </c>
      <c r="B33" s="413"/>
      <c r="C33" s="201" t="s">
        <v>111</v>
      </c>
      <c r="D33" s="23">
        <v>32</v>
      </c>
      <c r="E33" s="23">
        <v>6</v>
      </c>
    </row>
    <row r="34" spans="1:5">
      <c r="A34" s="208" t="s">
        <v>114</v>
      </c>
      <c r="B34" s="413"/>
      <c r="C34" s="201" t="s">
        <v>111</v>
      </c>
      <c r="D34" s="23">
        <v>33</v>
      </c>
      <c r="E34" s="23">
        <v>10</v>
      </c>
    </row>
    <row r="35" spans="1:5">
      <c r="A35" s="208" t="s">
        <v>116</v>
      </c>
      <c r="B35" s="413"/>
      <c r="C35" s="201" t="s">
        <v>115</v>
      </c>
      <c r="D35" s="23">
        <v>34</v>
      </c>
      <c r="E35" s="23">
        <v>2</v>
      </c>
    </row>
    <row r="36" spans="1:5">
      <c r="A36" s="208" t="s">
        <v>171</v>
      </c>
      <c r="B36" s="414"/>
      <c r="C36" s="201" t="s">
        <v>115</v>
      </c>
      <c r="D36" s="23">
        <v>35</v>
      </c>
      <c r="E36" s="23">
        <v>35</v>
      </c>
    </row>
    <row r="37" spans="1:5">
      <c r="A37" s="208" t="s">
        <v>167</v>
      </c>
      <c r="B37" s="413"/>
      <c r="C37" s="201" t="s">
        <v>115</v>
      </c>
      <c r="D37" s="23">
        <v>36</v>
      </c>
      <c r="E37" s="23">
        <v>21</v>
      </c>
    </row>
    <row r="38" spans="1:5">
      <c r="A38" s="208" t="s">
        <v>168</v>
      </c>
      <c r="B38" s="413"/>
      <c r="C38" s="201" t="s">
        <v>115</v>
      </c>
      <c r="D38" s="23">
        <v>37</v>
      </c>
      <c r="E38" s="23">
        <v>22</v>
      </c>
    </row>
    <row r="39" spans="1:5">
      <c r="A39" s="208" t="s">
        <v>169</v>
      </c>
      <c r="B39" s="414"/>
      <c r="C39" s="201" t="s">
        <v>115</v>
      </c>
      <c r="D39" s="23">
        <v>38</v>
      </c>
      <c r="E39" s="23">
        <v>30</v>
      </c>
    </row>
    <row r="40" spans="1:5">
      <c r="A40" s="208" t="s">
        <v>172</v>
      </c>
      <c r="B40" s="413"/>
      <c r="C40" s="201" t="s">
        <v>115</v>
      </c>
      <c r="D40" s="23">
        <v>39</v>
      </c>
      <c r="E40" s="23">
        <v>38</v>
      </c>
    </row>
    <row r="41" spans="1:5">
      <c r="A41" s="208" t="s">
        <v>125</v>
      </c>
      <c r="B41" s="416">
        <f>SUM(B2:B40)</f>
        <v>0</v>
      </c>
      <c r="C41" s="208"/>
      <c r="D41" s="26" t="s">
        <v>134</v>
      </c>
      <c r="E41" s="26" t="s">
        <v>134</v>
      </c>
    </row>
  </sheetData>
  <sheetProtection sheet="1" objects="1" scenarios="1"/>
  <pageMargins left="0.25" right="0.25" top="0.75" bottom="0.75" header="0.3" footer="0.3"/>
  <pageSetup scale="30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61C2-A960-475D-931F-CC73CFE05DF3}">
  <sheetPr>
    <tabColor rgb="FF92D050"/>
    <pageSetUpPr fitToPage="1"/>
  </sheetPr>
  <dimension ref="A1:I47"/>
  <sheetViews>
    <sheetView showGridLines="0" workbookViewId="0">
      <pane xSplit="1" ySplit="2" topLeftCell="D3" activePane="bottomRight" state="frozen"/>
      <selection activeCell="A3" sqref="A1:L1048576"/>
      <selection pane="topRight" activeCell="A3" sqref="A1:L1048576"/>
      <selection pane="bottomLeft" activeCell="A3" sqref="A1:L1048576"/>
      <selection pane="bottomRight" activeCell="A3" sqref="A1:L1048576"/>
    </sheetView>
  </sheetViews>
  <sheetFormatPr defaultColWidth="8.81640625" defaultRowHeight="14.5"/>
  <cols>
    <col min="1" max="1" width="46.7265625" style="251" bestFit="1" customWidth="1"/>
    <col min="2" max="3" width="16.7265625" style="431" hidden="1" customWidth="1"/>
    <col min="4" max="4" width="16.7265625" style="431" customWidth="1"/>
    <col min="5" max="5" width="16.26953125" style="251" customWidth="1"/>
    <col min="6" max="6" width="8.81640625" style="251"/>
    <col min="7" max="7" width="12.453125" style="251" customWidth="1"/>
    <col min="8" max="8" width="16.26953125" style="251" bestFit="1" customWidth="1"/>
    <col min="9" max="16384" width="8.81640625" style="251"/>
  </cols>
  <sheetData>
    <row r="1" spans="1:9">
      <c r="B1" s="417">
        <v>2016</v>
      </c>
      <c r="C1" s="417">
        <v>2017</v>
      </c>
      <c r="D1" s="417">
        <v>2025</v>
      </c>
      <c r="E1" s="251" t="s">
        <v>174</v>
      </c>
    </row>
    <row r="2" spans="1:9" ht="42.75" customHeight="1">
      <c r="A2" s="418" t="s">
        <v>124</v>
      </c>
      <c r="B2" s="419" t="s">
        <v>175</v>
      </c>
      <c r="C2" s="419" t="s">
        <v>175</v>
      </c>
      <c r="D2" s="419" t="s">
        <v>175</v>
      </c>
      <c r="H2" s="417">
        <v>2024</v>
      </c>
      <c r="I2" s="251" t="s">
        <v>176</v>
      </c>
    </row>
    <row r="3" spans="1:9">
      <c r="A3" s="420" t="s">
        <v>75</v>
      </c>
      <c r="B3" s="421">
        <v>1594905</v>
      </c>
      <c r="C3" s="422">
        <v>1576836</v>
      </c>
      <c r="D3" s="252">
        <v>2524115</v>
      </c>
      <c r="E3" s="423" t="s">
        <v>74</v>
      </c>
      <c r="H3" s="424">
        <v>2553471</v>
      </c>
    </row>
    <row r="4" spans="1:9">
      <c r="A4" s="420" t="s">
        <v>76</v>
      </c>
      <c r="B4" s="421">
        <v>366709</v>
      </c>
      <c r="C4" s="422">
        <v>463293</v>
      </c>
      <c r="D4" s="252">
        <v>420188</v>
      </c>
      <c r="E4" s="423" t="s">
        <v>74</v>
      </c>
      <c r="H4" s="424">
        <v>361548</v>
      </c>
    </row>
    <row r="5" spans="1:9">
      <c r="A5" s="420" t="s">
        <v>77</v>
      </c>
      <c r="B5" s="421">
        <v>1944651</v>
      </c>
      <c r="C5" s="422">
        <v>2016780</v>
      </c>
      <c r="D5" s="252">
        <f>2593221+472118</f>
        <v>3065339</v>
      </c>
      <c r="E5" s="423" t="s">
        <v>74</v>
      </c>
      <c r="H5" s="424">
        <v>2998198</v>
      </c>
    </row>
    <row r="6" spans="1:9">
      <c r="A6" s="420" t="s">
        <v>78</v>
      </c>
      <c r="B6" s="425">
        <v>1636129</v>
      </c>
      <c r="C6" s="422">
        <v>1738210</v>
      </c>
      <c r="D6" s="252">
        <v>2152505</v>
      </c>
      <c r="E6" s="423" t="s">
        <v>74</v>
      </c>
      <c r="H6" s="424">
        <v>2155919</v>
      </c>
    </row>
    <row r="7" spans="1:9">
      <c r="A7" s="420" t="s">
        <v>79</v>
      </c>
      <c r="B7" s="421">
        <v>329146</v>
      </c>
      <c r="C7" s="422">
        <v>322254</v>
      </c>
      <c r="D7" s="252">
        <v>458740</v>
      </c>
      <c r="E7" s="423" t="s">
        <v>74</v>
      </c>
      <c r="H7" s="424">
        <v>447645</v>
      </c>
    </row>
    <row r="8" spans="1:9">
      <c r="A8" s="420" t="s">
        <v>81</v>
      </c>
      <c r="B8" s="421">
        <v>7205873</v>
      </c>
      <c r="C8" s="422">
        <v>7933572</v>
      </c>
      <c r="D8" s="252">
        <v>19397700</v>
      </c>
      <c r="E8" s="423" t="s">
        <v>80</v>
      </c>
      <c r="H8" s="424">
        <v>14481448</v>
      </c>
    </row>
    <row r="9" spans="1:9">
      <c r="A9" s="420" t="s">
        <v>83</v>
      </c>
      <c r="B9" s="421">
        <v>3598701</v>
      </c>
      <c r="C9" s="422">
        <v>3825222</v>
      </c>
      <c r="D9" s="252">
        <v>5394452</v>
      </c>
      <c r="E9" s="423" t="s">
        <v>82</v>
      </c>
      <c r="F9" s="251" t="s">
        <v>177</v>
      </c>
      <c r="H9" s="424">
        <v>5267046</v>
      </c>
    </row>
    <row r="10" spans="1:9">
      <c r="A10" s="420" t="s">
        <v>85</v>
      </c>
      <c r="B10" s="421">
        <v>960983</v>
      </c>
      <c r="C10" s="422">
        <v>988336</v>
      </c>
      <c r="D10" s="252">
        <v>2252994</v>
      </c>
      <c r="E10" s="423" t="s">
        <v>84</v>
      </c>
      <c r="H10" s="424">
        <v>2126888</v>
      </c>
    </row>
    <row r="11" spans="1:9">
      <c r="A11" s="420" t="s">
        <v>86</v>
      </c>
      <c r="B11" s="426"/>
      <c r="C11" s="427"/>
      <c r="D11" s="252">
        <v>214513</v>
      </c>
      <c r="E11" s="423" t="s">
        <v>84</v>
      </c>
      <c r="H11" s="424">
        <v>225862</v>
      </c>
    </row>
    <row r="12" spans="1:9">
      <c r="A12" s="420" t="s">
        <v>87</v>
      </c>
      <c r="B12" s="428">
        <v>98697464</v>
      </c>
      <c r="C12" s="422">
        <v>98592812</v>
      </c>
      <c r="D12" s="252">
        <v>153334791</v>
      </c>
      <c r="E12" s="423" t="s">
        <v>84</v>
      </c>
      <c r="H12" s="424">
        <v>129442718</v>
      </c>
    </row>
    <row r="13" spans="1:9">
      <c r="A13" s="420" t="s">
        <v>88</v>
      </c>
      <c r="B13" s="428">
        <v>675240</v>
      </c>
      <c r="C13" s="422">
        <v>739155</v>
      </c>
      <c r="D13" s="252">
        <v>1551122</v>
      </c>
      <c r="E13" s="423" t="s">
        <v>84</v>
      </c>
      <c r="H13" s="424">
        <v>1347743</v>
      </c>
    </row>
    <row r="14" spans="1:9">
      <c r="A14" s="420" t="s">
        <v>89</v>
      </c>
      <c r="B14" s="421">
        <v>80150</v>
      </c>
      <c r="C14" s="422">
        <v>80836</v>
      </c>
      <c r="D14" s="252">
        <v>83950</v>
      </c>
      <c r="E14" s="423" t="s">
        <v>84</v>
      </c>
      <c r="H14" s="424">
        <v>71294</v>
      </c>
    </row>
    <row r="15" spans="1:9">
      <c r="A15" s="420" t="s">
        <v>90</v>
      </c>
      <c r="B15" s="428">
        <v>6855143</v>
      </c>
      <c r="C15" s="422">
        <v>7254202</v>
      </c>
      <c r="D15" s="252">
        <v>8890738</v>
      </c>
      <c r="E15" s="423" t="s">
        <v>84</v>
      </c>
      <c r="H15" s="424">
        <v>7769877</v>
      </c>
    </row>
    <row r="16" spans="1:9">
      <c r="A16" s="420" t="s">
        <v>92</v>
      </c>
      <c r="B16" s="421">
        <v>1862912</v>
      </c>
      <c r="C16" s="422">
        <v>2450768</v>
      </c>
      <c r="D16" s="252">
        <v>4097893</v>
      </c>
      <c r="E16" s="423" t="s">
        <v>91</v>
      </c>
      <c r="H16" s="424">
        <v>4067447</v>
      </c>
    </row>
    <row r="17" spans="1:9">
      <c r="A17" s="420" t="s">
        <v>93</v>
      </c>
      <c r="B17" s="421">
        <v>635069</v>
      </c>
      <c r="C17" s="422">
        <v>693389</v>
      </c>
      <c r="D17" s="252">
        <v>749264</v>
      </c>
      <c r="E17" s="423" t="s">
        <v>91</v>
      </c>
      <c r="H17" s="424">
        <v>698366</v>
      </c>
    </row>
    <row r="18" spans="1:9">
      <c r="A18" s="420" t="s">
        <v>94</v>
      </c>
      <c r="B18" s="421">
        <v>7401176</v>
      </c>
      <c r="C18" s="422">
        <v>8034835</v>
      </c>
      <c r="D18" s="252">
        <v>9104264</v>
      </c>
      <c r="E18" s="423" t="s">
        <v>91</v>
      </c>
      <c r="H18" s="424">
        <v>9003000</v>
      </c>
    </row>
    <row r="19" spans="1:9">
      <c r="A19" s="420" t="s">
        <v>95</v>
      </c>
      <c r="B19" s="421">
        <v>84690</v>
      </c>
      <c r="C19" s="422">
        <v>86294</v>
      </c>
      <c r="D19" s="252">
        <v>176795</v>
      </c>
      <c r="E19" s="423" t="s">
        <v>91</v>
      </c>
      <c r="H19" s="424">
        <v>165710</v>
      </c>
    </row>
    <row r="20" spans="1:9">
      <c r="A20" s="420" t="s">
        <v>97</v>
      </c>
      <c r="B20" s="425">
        <v>16435804</v>
      </c>
      <c r="C20" s="422">
        <v>17554554</v>
      </c>
      <c r="D20" s="252">
        <v>27572539</v>
      </c>
      <c r="E20" s="423" t="s">
        <v>96</v>
      </c>
      <c r="H20" s="424">
        <v>25291520</v>
      </c>
    </row>
    <row r="21" spans="1:9">
      <c r="A21" s="420" t="s">
        <v>98</v>
      </c>
      <c r="B21" s="421">
        <v>13250889</v>
      </c>
      <c r="C21" s="422">
        <v>16303813</v>
      </c>
      <c r="D21" s="252">
        <v>27825334</v>
      </c>
      <c r="E21" s="423" t="s">
        <v>96</v>
      </c>
      <c r="H21" s="424">
        <v>28281032</v>
      </c>
    </row>
    <row r="22" spans="1:9">
      <c r="A22" s="420" t="s">
        <v>99</v>
      </c>
      <c r="B22" s="421">
        <v>16860714</v>
      </c>
      <c r="C22" s="422">
        <v>17454401</v>
      </c>
      <c r="D22" s="252">
        <v>31465620</v>
      </c>
      <c r="E22" s="423" t="s">
        <v>96</v>
      </c>
      <c r="H22" s="424">
        <v>36047232</v>
      </c>
    </row>
    <row r="23" spans="1:9">
      <c r="A23" s="420" t="s">
        <v>100</v>
      </c>
      <c r="B23" s="421">
        <v>3798321</v>
      </c>
      <c r="C23" s="422">
        <v>3941598</v>
      </c>
      <c r="D23" s="252">
        <v>5702607</v>
      </c>
      <c r="E23" s="423" t="s">
        <v>96</v>
      </c>
      <c r="H23" s="424">
        <v>5453602</v>
      </c>
    </row>
    <row r="24" spans="1:9">
      <c r="A24" s="420" t="s">
        <v>101</v>
      </c>
      <c r="B24" s="421">
        <v>81796837</v>
      </c>
      <c r="C24" s="429">
        <v>80381389</v>
      </c>
      <c r="D24" s="252">
        <v>135419722</v>
      </c>
      <c r="E24" s="423" t="s">
        <v>96</v>
      </c>
      <c r="H24" s="424">
        <v>111168383</v>
      </c>
    </row>
    <row r="25" spans="1:9">
      <c r="A25" s="420" t="s">
        <v>102</v>
      </c>
      <c r="B25" s="428">
        <v>31551969</v>
      </c>
      <c r="C25" s="422">
        <v>29774166</v>
      </c>
      <c r="D25" s="252">
        <v>56380235</v>
      </c>
      <c r="E25" s="423" t="s">
        <v>96</v>
      </c>
      <c r="H25" s="424">
        <v>49463221</v>
      </c>
    </row>
    <row r="26" spans="1:9">
      <c r="A26" s="420" t="s">
        <v>104</v>
      </c>
      <c r="B26" s="421">
        <v>3350543</v>
      </c>
      <c r="C26" s="422">
        <v>3250236</v>
      </c>
      <c r="D26" s="252">
        <v>5582819</v>
      </c>
      <c r="E26" s="423" t="s">
        <v>103</v>
      </c>
      <c r="H26" s="424">
        <v>3929042</v>
      </c>
    </row>
    <row r="27" spans="1:9">
      <c r="A27" s="420" t="s">
        <v>105</v>
      </c>
      <c r="B27" s="421">
        <v>44774489</v>
      </c>
      <c r="C27" s="422">
        <v>45392744</v>
      </c>
      <c r="D27" s="252">
        <v>83270105</v>
      </c>
      <c r="E27" s="423" t="s">
        <v>103</v>
      </c>
      <c r="H27" s="424">
        <v>76532753</v>
      </c>
    </row>
    <row r="28" spans="1:9">
      <c r="A28" s="420" t="s">
        <v>107</v>
      </c>
      <c r="B28" s="421">
        <v>7305764</v>
      </c>
      <c r="C28" s="422">
        <v>8606062</v>
      </c>
      <c r="D28" s="252">
        <v>14038846</v>
      </c>
      <c r="E28" s="423" t="s">
        <v>106</v>
      </c>
      <c r="H28" s="424">
        <v>12808994</v>
      </c>
    </row>
    <row r="29" spans="1:9">
      <c r="A29" s="420" t="s">
        <v>108</v>
      </c>
      <c r="B29" s="421">
        <v>1507105</v>
      </c>
      <c r="C29" s="422">
        <v>1521963</v>
      </c>
      <c r="D29" s="252">
        <v>2810399</v>
      </c>
      <c r="E29" s="423" t="s">
        <v>106</v>
      </c>
      <c r="H29" s="424">
        <v>2846110</v>
      </c>
    </row>
    <row r="30" spans="1:9">
      <c r="A30" s="420" t="s">
        <v>178</v>
      </c>
      <c r="B30" s="421">
        <v>1507105</v>
      </c>
      <c r="C30" s="422">
        <v>1521963</v>
      </c>
      <c r="D30" s="253">
        <v>0</v>
      </c>
      <c r="E30" s="423" t="s">
        <v>106</v>
      </c>
      <c r="H30" s="424">
        <v>0</v>
      </c>
      <c r="I30" s="251" t="s">
        <v>179</v>
      </c>
    </row>
    <row r="31" spans="1:9">
      <c r="A31" s="420" t="s">
        <v>109</v>
      </c>
      <c r="B31" s="421">
        <v>9018028</v>
      </c>
      <c r="C31" s="422">
        <v>9018159</v>
      </c>
      <c r="D31" s="252">
        <v>11966953</v>
      </c>
      <c r="E31" s="423" t="s">
        <v>106</v>
      </c>
      <c r="H31" s="424">
        <v>14322731</v>
      </c>
      <c r="I31" s="251" t="s">
        <v>180</v>
      </c>
    </row>
    <row r="32" spans="1:9">
      <c r="A32" s="420" t="s">
        <v>110</v>
      </c>
      <c r="B32" s="425">
        <v>623850</v>
      </c>
      <c r="C32" s="422">
        <v>711690</v>
      </c>
      <c r="D32" s="252">
        <v>872107</v>
      </c>
      <c r="E32" s="423" t="s">
        <v>106</v>
      </c>
      <c r="H32" s="424">
        <v>744369</v>
      </c>
    </row>
    <row r="33" spans="1:9">
      <c r="A33" s="420" t="s">
        <v>173</v>
      </c>
      <c r="B33" s="425">
        <v>623850</v>
      </c>
      <c r="C33" s="422">
        <v>711690</v>
      </c>
      <c r="D33" s="252">
        <v>174101</v>
      </c>
      <c r="E33" s="423" t="s">
        <v>106</v>
      </c>
      <c r="H33" s="424">
        <v>0</v>
      </c>
    </row>
    <row r="34" spans="1:9">
      <c r="A34" s="420" t="s">
        <v>112</v>
      </c>
      <c r="B34" s="421">
        <v>1829182</v>
      </c>
      <c r="C34" s="422">
        <v>2253148</v>
      </c>
      <c r="D34" s="252">
        <f>1382044+1940205</f>
        <v>3322249</v>
      </c>
      <c r="E34" s="423" t="s">
        <v>111</v>
      </c>
      <c r="H34" s="424">
        <v>3366722</v>
      </c>
    </row>
    <row r="35" spans="1:9">
      <c r="A35" s="420" t="s">
        <v>113</v>
      </c>
      <c r="B35" s="421">
        <v>4459063</v>
      </c>
      <c r="C35" s="422">
        <v>4515327</v>
      </c>
      <c r="D35" s="252">
        <v>7574503</v>
      </c>
      <c r="E35" s="423" t="s">
        <v>111</v>
      </c>
      <c r="H35" s="424">
        <v>7435602</v>
      </c>
    </row>
    <row r="36" spans="1:9">
      <c r="A36" s="420" t="s">
        <v>114</v>
      </c>
      <c r="B36" s="421">
        <v>1039146</v>
      </c>
      <c r="C36" s="422">
        <v>966687</v>
      </c>
      <c r="D36" s="252">
        <v>2625519</v>
      </c>
      <c r="E36" s="423" t="s">
        <v>111</v>
      </c>
      <c r="H36" s="424">
        <v>2380653</v>
      </c>
    </row>
    <row r="37" spans="1:9">
      <c r="A37" s="420" t="s">
        <v>116</v>
      </c>
      <c r="B37" s="421">
        <v>3099046</v>
      </c>
      <c r="C37" s="422">
        <v>3502623</v>
      </c>
      <c r="D37" s="252">
        <v>5545950</v>
      </c>
      <c r="E37" s="423" t="s">
        <v>115</v>
      </c>
      <c r="H37" s="424">
        <v>5803873</v>
      </c>
    </row>
    <row r="38" spans="1:9">
      <c r="A38" s="420" t="s">
        <v>117</v>
      </c>
      <c r="B38" s="421">
        <v>351579</v>
      </c>
      <c r="C38" s="422">
        <v>339906</v>
      </c>
      <c r="D38" s="252">
        <v>537911</v>
      </c>
      <c r="E38" s="423" t="s">
        <v>115</v>
      </c>
      <c r="H38" s="424">
        <v>604843</v>
      </c>
    </row>
    <row r="39" spans="1:9">
      <c r="A39" s="420" t="s">
        <v>118</v>
      </c>
      <c r="B39" s="428">
        <v>5336913</v>
      </c>
      <c r="C39" s="422">
        <v>5862562</v>
      </c>
      <c r="D39" s="252">
        <v>5142066</v>
      </c>
      <c r="E39" s="423" t="s">
        <v>115</v>
      </c>
      <c r="H39" s="424">
        <v>5022923</v>
      </c>
    </row>
    <row r="40" spans="1:9">
      <c r="A40" s="420" t="s">
        <v>119</v>
      </c>
      <c r="B40" s="425">
        <v>132999</v>
      </c>
      <c r="C40" s="422">
        <v>125760</v>
      </c>
      <c r="D40" s="252">
        <v>705021</v>
      </c>
      <c r="E40" s="423" t="s">
        <v>115</v>
      </c>
      <c r="H40" s="424">
        <v>457239</v>
      </c>
      <c r="I40" s="251" t="s">
        <v>181</v>
      </c>
    </row>
    <row r="41" spans="1:9">
      <c r="A41" s="420" t="s">
        <v>120</v>
      </c>
      <c r="B41" s="425">
        <v>1661264</v>
      </c>
      <c r="C41" s="422">
        <v>1659449</v>
      </c>
      <c r="D41" s="252">
        <v>1208220</v>
      </c>
      <c r="E41" s="423" t="s">
        <v>115</v>
      </c>
      <c r="H41" s="424">
        <v>1220651</v>
      </c>
    </row>
    <row r="42" spans="1:9">
      <c r="A42" s="418" t="s">
        <v>121</v>
      </c>
      <c r="B42" s="421">
        <v>2954504</v>
      </c>
      <c r="C42" s="422">
        <v>2637434</v>
      </c>
      <c r="D42" s="252">
        <v>5119725</v>
      </c>
      <c r="E42" s="423" t="s">
        <v>115</v>
      </c>
      <c r="H42" s="424">
        <v>4896193</v>
      </c>
    </row>
    <row r="43" spans="1:9">
      <c r="A43" s="420" t="s">
        <v>125</v>
      </c>
      <c r="B43" s="421">
        <f>SUM(B3:B42)</f>
        <v>387197905</v>
      </c>
      <c r="C43" s="422">
        <f>SUM(C3:C42)</f>
        <v>394804118</v>
      </c>
      <c r="D43" s="254">
        <f>SUM(D3:D42)</f>
        <v>648731914</v>
      </c>
      <c r="H43" s="424">
        <f>SUM(H3:H42)</f>
        <v>581261868</v>
      </c>
    </row>
    <row r="44" spans="1:9">
      <c r="B44" s="430"/>
      <c r="C44" s="430"/>
    </row>
    <row r="46" spans="1:9">
      <c r="A46" s="432"/>
      <c r="D46" s="433" t="s">
        <v>182</v>
      </c>
    </row>
    <row r="47" spans="1:9">
      <c r="A47" s="434"/>
      <c r="B47" s="251" t="s">
        <v>183</v>
      </c>
      <c r="D47" s="251" t="s">
        <v>184</v>
      </c>
    </row>
  </sheetData>
  <sheetProtection sheet="1" objects="1" scenarios="1"/>
  <pageMargins left="0.25" right="0.25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A49F8-D511-4F68-B86A-06072A09F969}">
  <dimension ref="A2:D40"/>
  <sheetViews>
    <sheetView workbookViewId="0">
      <selection activeCell="A3" sqref="A1:L1048576"/>
    </sheetView>
  </sheetViews>
  <sheetFormatPr defaultRowHeight="12.5"/>
  <cols>
    <col min="1" max="1" width="20.7265625" customWidth="1"/>
    <col min="2" max="2" width="49.54296875" bestFit="1" customWidth="1"/>
    <col min="3" max="3" width="13.453125" customWidth="1"/>
    <col min="4" max="4" width="20.453125" customWidth="1"/>
  </cols>
  <sheetData>
    <row r="2" spans="1:4" ht="13.15" customHeight="1">
      <c r="A2" s="197" t="s">
        <v>14</v>
      </c>
      <c r="B2" s="198" t="s">
        <v>15</v>
      </c>
      <c r="C2" s="198" t="s">
        <v>142</v>
      </c>
      <c r="D2" s="198" t="s">
        <v>143</v>
      </c>
    </row>
    <row r="3" spans="1:4" ht="16">
      <c r="A3" s="199" t="s">
        <v>74</v>
      </c>
      <c r="B3" s="27" t="s">
        <v>75</v>
      </c>
      <c r="C3">
        <v>1</v>
      </c>
      <c r="D3">
        <v>1</v>
      </c>
    </row>
    <row r="4" spans="1:4" ht="16">
      <c r="A4" s="199" t="s">
        <v>74</v>
      </c>
      <c r="B4" s="27" t="s">
        <v>76</v>
      </c>
      <c r="C4">
        <v>2</v>
      </c>
      <c r="D4">
        <v>7</v>
      </c>
    </row>
    <row r="5" spans="1:4" ht="16">
      <c r="A5" s="199" t="s">
        <v>74</v>
      </c>
      <c r="B5" s="27" t="s">
        <v>77</v>
      </c>
      <c r="C5">
        <v>3</v>
      </c>
      <c r="D5">
        <v>14</v>
      </c>
    </row>
    <row r="6" spans="1:4" ht="16">
      <c r="A6" s="199" t="s">
        <v>74</v>
      </c>
      <c r="B6" s="27" t="s">
        <v>78</v>
      </c>
      <c r="C6">
        <v>4</v>
      </c>
      <c r="D6">
        <v>25</v>
      </c>
    </row>
    <row r="7" spans="1:4" ht="16">
      <c r="A7" s="199" t="s">
        <v>74</v>
      </c>
      <c r="B7" s="27" t="s">
        <v>79</v>
      </c>
      <c r="C7">
        <v>5</v>
      </c>
      <c r="D7">
        <v>35</v>
      </c>
    </row>
    <row r="8" spans="1:4" ht="16">
      <c r="A8" s="199" t="s">
        <v>80</v>
      </c>
      <c r="B8" s="27" t="s">
        <v>81</v>
      </c>
      <c r="C8">
        <v>6</v>
      </c>
      <c r="D8">
        <v>6</v>
      </c>
    </row>
    <row r="9" spans="1:4" ht="16">
      <c r="A9" s="199" t="s">
        <v>82</v>
      </c>
      <c r="B9" s="27" t="s">
        <v>83</v>
      </c>
      <c r="C9">
        <v>7</v>
      </c>
      <c r="D9">
        <v>16</v>
      </c>
    </row>
    <row r="10" spans="1:4" ht="16">
      <c r="A10" s="199" t="s">
        <v>84</v>
      </c>
      <c r="B10" s="27" t="s">
        <v>85</v>
      </c>
      <c r="C10">
        <v>8</v>
      </c>
      <c r="D10">
        <v>11</v>
      </c>
    </row>
    <row r="11" spans="1:4" ht="16">
      <c r="A11" s="199" t="s">
        <v>84</v>
      </c>
      <c r="B11" s="27" t="s">
        <v>86</v>
      </c>
      <c r="C11">
        <v>9</v>
      </c>
      <c r="D11">
        <v>20</v>
      </c>
    </row>
    <row r="12" spans="1:4" ht="16">
      <c r="A12" s="199" t="s">
        <v>84</v>
      </c>
      <c r="B12" s="27" t="s">
        <v>87</v>
      </c>
      <c r="C12">
        <v>10</v>
      </c>
      <c r="D12">
        <v>21</v>
      </c>
    </row>
    <row r="13" spans="1:4" ht="16">
      <c r="A13" s="199" t="s">
        <v>84</v>
      </c>
      <c r="B13" s="27" t="s">
        <v>88</v>
      </c>
      <c r="C13">
        <v>11</v>
      </c>
      <c r="D13">
        <v>33</v>
      </c>
    </row>
    <row r="14" spans="1:4" ht="16">
      <c r="A14" s="199" t="s">
        <v>84</v>
      </c>
      <c r="B14" s="27" t="s">
        <v>89</v>
      </c>
      <c r="C14">
        <v>12</v>
      </c>
      <c r="D14">
        <v>36</v>
      </c>
    </row>
    <row r="15" spans="1:4" ht="16">
      <c r="A15" s="199" t="s">
        <v>84</v>
      </c>
      <c r="B15" s="27" t="s">
        <v>90</v>
      </c>
      <c r="C15">
        <v>13</v>
      </c>
      <c r="D15">
        <v>38</v>
      </c>
    </row>
    <row r="16" spans="1:4" ht="16">
      <c r="A16" s="199" t="s">
        <v>91</v>
      </c>
      <c r="B16" s="27" t="s">
        <v>92</v>
      </c>
      <c r="C16">
        <v>14</v>
      </c>
      <c r="D16">
        <v>13</v>
      </c>
    </row>
    <row r="17" spans="1:4" ht="16">
      <c r="A17" s="199" t="s">
        <v>91</v>
      </c>
      <c r="B17" s="27" t="s">
        <v>93</v>
      </c>
      <c r="C17">
        <v>15</v>
      </c>
      <c r="D17">
        <v>15</v>
      </c>
    </row>
    <row r="18" spans="1:4" ht="16">
      <c r="A18" s="199" t="s">
        <v>91</v>
      </c>
      <c r="B18" s="27" t="s">
        <v>94</v>
      </c>
      <c r="C18">
        <v>16</v>
      </c>
      <c r="D18">
        <v>17</v>
      </c>
    </row>
    <row r="19" spans="1:4" ht="16">
      <c r="A19" s="199" t="s">
        <v>91</v>
      </c>
      <c r="B19" s="27" t="s">
        <v>95</v>
      </c>
      <c r="C19">
        <v>17</v>
      </c>
      <c r="D19">
        <v>34</v>
      </c>
    </row>
    <row r="20" spans="1:4" ht="16">
      <c r="A20" s="199" t="s">
        <v>96</v>
      </c>
      <c r="B20" s="27" t="s">
        <v>97</v>
      </c>
      <c r="C20">
        <v>18</v>
      </c>
      <c r="D20">
        <v>24</v>
      </c>
    </row>
    <row r="21" spans="1:4" ht="16">
      <c r="A21" s="199" t="s">
        <v>96</v>
      </c>
      <c r="B21" s="27" t="s">
        <v>98</v>
      </c>
      <c r="C21">
        <v>19</v>
      </c>
      <c r="D21">
        <v>26</v>
      </c>
    </row>
    <row r="22" spans="1:4" ht="16">
      <c r="A22" s="199" t="s">
        <v>96</v>
      </c>
      <c r="B22" s="27" t="s">
        <v>99</v>
      </c>
      <c r="C22">
        <v>20</v>
      </c>
      <c r="D22">
        <v>27</v>
      </c>
    </row>
    <row r="23" spans="1:4" ht="16">
      <c r="A23" s="199" t="s">
        <v>96</v>
      </c>
      <c r="B23" s="27" t="s">
        <v>100</v>
      </c>
      <c r="C23">
        <v>21</v>
      </c>
      <c r="D23">
        <v>28</v>
      </c>
    </row>
    <row r="24" spans="1:4" ht="16">
      <c r="A24" s="199" t="s">
        <v>96</v>
      </c>
      <c r="B24" s="27" t="s">
        <v>101</v>
      </c>
      <c r="C24">
        <v>22</v>
      </c>
      <c r="D24">
        <v>29</v>
      </c>
    </row>
    <row r="25" spans="1:4" ht="16">
      <c r="A25" s="199" t="s">
        <v>96</v>
      </c>
      <c r="B25" s="27" t="s">
        <v>102</v>
      </c>
      <c r="C25">
        <v>23</v>
      </c>
      <c r="D25">
        <v>30</v>
      </c>
    </row>
    <row r="26" spans="1:4" ht="16">
      <c r="A26" s="199" t="s">
        <v>103</v>
      </c>
      <c r="B26" s="27" t="s">
        <v>104</v>
      </c>
      <c r="C26">
        <v>24</v>
      </c>
      <c r="D26">
        <v>9</v>
      </c>
    </row>
    <row r="27" spans="1:4" ht="16">
      <c r="A27" s="199" t="s">
        <v>103</v>
      </c>
      <c r="B27" s="27" t="s">
        <v>105</v>
      </c>
      <c r="C27">
        <v>25</v>
      </c>
      <c r="D27">
        <v>18</v>
      </c>
    </row>
    <row r="28" spans="1:4" ht="16">
      <c r="A28" s="199" t="s">
        <v>106</v>
      </c>
      <c r="B28" s="27" t="s">
        <v>107</v>
      </c>
      <c r="C28">
        <v>26</v>
      </c>
      <c r="D28">
        <v>3</v>
      </c>
    </row>
    <row r="29" spans="1:4" ht="16">
      <c r="A29" s="199" t="s">
        <v>106</v>
      </c>
      <c r="B29" s="27" t="s">
        <v>108</v>
      </c>
      <c r="C29">
        <v>27</v>
      </c>
      <c r="D29">
        <v>10</v>
      </c>
    </row>
    <row r="30" spans="1:4" ht="16">
      <c r="A30" s="199" t="s">
        <v>106</v>
      </c>
      <c r="B30" s="27" t="s">
        <v>109</v>
      </c>
      <c r="C30">
        <v>28</v>
      </c>
      <c r="D30">
        <v>19</v>
      </c>
    </row>
    <row r="31" spans="1:4" ht="16">
      <c r="A31" s="199" t="s">
        <v>106</v>
      </c>
      <c r="B31" s="27" t="s">
        <v>110</v>
      </c>
      <c r="C31">
        <v>29</v>
      </c>
      <c r="D31">
        <v>31</v>
      </c>
    </row>
    <row r="32" spans="1:4" ht="16">
      <c r="A32" s="199" t="s">
        <v>111</v>
      </c>
      <c r="B32" s="27" t="s">
        <v>112</v>
      </c>
      <c r="C32">
        <v>30</v>
      </c>
      <c r="D32">
        <v>5</v>
      </c>
    </row>
    <row r="33" spans="1:4" ht="16">
      <c r="A33" s="199" t="s">
        <v>111</v>
      </c>
      <c r="B33" s="27" t="s">
        <v>113</v>
      </c>
      <c r="C33">
        <v>31</v>
      </c>
      <c r="D33">
        <v>8</v>
      </c>
    </row>
    <row r="34" spans="1:4" ht="16">
      <c r="A34" s="199" t="s">
        <v>111</v>
      </c>
      <c r="B34" s="27" t="s">
        <v>114</v>
      </c>
      <c r="C34">
        <v>32</v>
      </c>
      <c r="D34">
        <v>12</v>
      </c>
    </row>
    <row r="35" spans="1:4" ht="16">
      <c r="A35" s="199" t="s">
        <v>115</v>
      </c>
      <c r="B35" s="27" t="s">
        <v>116</v>
      </c>
      <c r="C35">
        <v>33</v>
      </c>
      <c r="D35">
        <v>2</v>
      </c>
    </row>
    <row r="36" spans="1:4" ht="16">
      <c r="A36" s="199" t="s">
        <v>115</v>
      </c>
      <c r="B36" s="27" t="s">
        <v>117</v>
      </c>
      <c r="C36">
        <v>34</v>
      </c>
      <c r="D36">
        <v>4</v>
      </c>
    </row>
    <row r="37" spans="1:4" ht="16">
      <c r="A37" s="199" t="s">
        <v>115</v>
      </c>
      <c r="B37" s="27" t="s">
        <v>118</v>
      </c>
      <c r="C37">
        <v>35</v>
      </c>
      <c r="D37">
        <v>22</v>
      </c>
    </row>
    <row r="38" spans="1:4" ht="16">
      <c r="A38" s="199" t="s">
        <v>115</v>
      </c>
      <c r="B38" s="27" t="s">
        <v>119</v>
      </c>
      <c r="C38">
        <v>36</v>
      </c>
      <c r="D38">
        <v>23</v>
      </c>
    </row>
    <row r="39" spans="1:4" ht="16">
      <c r="A39" s="199" t="s">
        <v>115</v>
      </c>
      <c r="B39" s="27" t="s">
        <v>120</v>
      </c>
      <c r="C39">
        <v>37</v>
      </c>
      <c r="D39">
        <v>32</v>
      </c>
    </row>
    <row r="40" spans="1:4" ht="16">
      <c r="A40" s="199" t="s">
        <v>115</v>
      </c>
      <c r="B40" s="27" t="s">
        <v>121</v>
      </c>
      <c r="C40">
        <v>38</v>
      </c>
      <c r="D40">
        <v>37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E38A-E136-4887-AAB1-2A815CE377C1}">
  <sheetPr>
    <pageSetUpPr fitToPage="1"/>
  </sheetPr>
  <dimension ref="A1:F50"/>
  <sheetViews>
    <sheetView zoomScaleNormal="100" workbookViewId="0">
      <selection activeCell="F1" sqref="A1:F1048576"/>
    </sheetView>
  </sheetViews>
  <sheetFormatPr defaultColWidth="9.26953125" defaultRowHeight="16"/>
  <cols>
    <col min="1" max="1" width="16" style="436" customWidth="1"/>
    <col min="2" max="2" width="63.54296875" style="1" customWidth="1"/>
    <col min="3" max="3" width="15.26953125" style="1" customWidth="1"/>
    <col min="4" max="5" width="14.54296875" style="1" customWidth="1"/>
    <col min="6" max="6" width="25.26953125" style="1" bestFit="1" customWidth="1"/>
    <col min="7" max="16384" width="9.26953125" style="1"/>
  </cols>
  <sheetData>
    <row r="1" spans="1:6" ht="15" customHeight="1" thickBot="1">
      <c r="A1" s="435"/>
      <c r="E1" s="436"/>
    </row>
    <row r="2" spans="1:6" ht="15" customHeight="1">
      <c r="A2" s="1"/>
      <c r="B2" s="7" t="s">
        <v>126</v>
      </c>
      <c r="C2" s="437" t="e">
        <f>C32/C$49</f>
        <v>#DIV/0!</v>
      </c>
      <c r="D2" s="438" t="e">
        <f>D32/D$49</f>
        <v>#REF!</v>
      </c>
      <c r="E2" s="438" t="e">
        <f>E32/E$49</f>
        <v>#REF!</v>
      </c>
      <c r="F2" s="439" t="s">
        <v>127</v>
      </c>
    </row>
    <row r="3" spans="1:6" ht="15" customHeight="1">
      <c r="A3" s="1"/>
      <c r="B3" s="440" t="s">
        <v>128</v>
      </c>
      <c r="C3" s="441">
        <f>1/3</f>
        <v>0.33333333333333331</v>
      </c>
      <c r="D3" s="442">
        <f>1/3</f>
        <v>0.33333333333333331</v>
      </c>
      <c r="E3" s="442">
        <f>1/3</f>
        <v>0.33333333333333331</v>
      </c>
      <c r="F3" s="443"/>
    </row>
    <row r="4" spans="1:6" ht="16.5" thickBot="1">
      <c r="A4" s="1"/>
      <c r="B4" s="7" t="s">
        <v>129</v>
      </c>
      <c r="C4" s="444" t="e">
        <f>C2*C3</f>
        <v>#DIV/0!</v>
      </c>
      <c r="D4" s="445" t="e">
        <f>D2*D3</f>
        <v>#REF!</v>
      </c>
      <c r="E4" s="445" t="e">
        <f>E2*E3</f>
        <v>#REF!</v>
      </c>
      <c r="F4" s="446" t="e">
        <f>SUM(C4:E4)</f>
        <v>#DIV/0!</v>
      </c>
    </row>
    <row r="5" spans="1:6" ht="15" customHeight="1" thickBot="1">
      <c r="A5" s="14"/>
    </row>
    <row r="6" spans="1:6" s="13" customFormat="1">
      <c r="A6" s="447"/>
      <c r="B6" s="448"/>
      <c r="C6" s="449"/>
      <c r="D6" s="449"/>
      <c r="E6" s="450"/>
    </row>
    <row r="7" spans="1:6" s="13" customFormat="1">
      <c r="A7" s="451"/>
      <c r="B7" s="452"/>
      <c r="C7" s="497" t="s">
        <v>123</v>
      </c>
      <c r="D7" s="497"/>
      <c r="E7" s="498"/>
    </row>
    <row r="8" spans="1:6" s="17" customFormat="1" ht="101.25" customHeight="1">
      <c r="A8" s="453" t="s">
        <v>14</v>
      </c>
      <c r="B8" s="454" t="s">
        <v>130</v>
      </c>
      <c r="C8" s="455" t="s">
        <v>131</v>
      </c>
      <c r="D8" s="455" t="s">
        <v>132</v>
      </c>
      <c r="E8" s="456" t="s">
        <v>133</v>
      </c>
    </row>
    <row r="9" spans="1:6">
      <c r="A9" s="457" t="s">
        <v>74</v>
      </c>
      <c r="B9" s="458" t="s">
        <v>75</v>
      </c>
      <c r="C9" s="459">
        <v>0</v>
      </c>
      <c r="D9" s="460">
        <f>'Revenue Hours'!E2</f>
        <v>28183</v>
      </c>
      <c r="E9" s="460">
        <f>'Revenue Miles'!E2</f>
        <v>563585</v>
      </c>
    </row>
    <row r="10" spans="1:6">
      <c r="A10" s="461" t="s">
        <v>74</v>
      </c>
      <c r="B10" s="458" t="s">
        <v>76</v>
      </c>
      <c r="C10" s="459">
        <v>0</v>
      </c>
      <c r="D10" s="460">
        <f>'Revenue Hours'!E3</f>
        <v>7578</v>
      </c>
      <c r="E10" s="460">
        <f>'Revenue Miles'!E3</f>
        <v>90570</v>
      </c>
    </row>
    <row r="11" spans="1:6">
      <c r="A11" s="461" t="s">
        <v>74</v>
      </c>
      <c r="B11" s="458" t="s">
        <v>77</v>
      </c>
      <c r="C11" s="459">
        <v>0</v>
      </c>
      <c r="D11" s="460">
        <f>'Revenue Hours'!E4</f>
        <v>42313</v>
      </c>
      <c r="E11" s="460">
        <f>'Revenue Miles'!E4</f>
        <v>474357</v>
      </c>
    </row>
    <row r="12" spans="1:6">
      <c r="A12" s="461" t="s">
        <v>74</v>
      </c>
      <c r="B12" s="458" t="s">
        <v>78</v>
      </c>
      <c r="C12" s="459">
        <v>0</v>
      </c>
      <c r="D12" s="460">
        <f>'Revenue Hours'!E5</f>
        <v>43806</v>
      </c>
      <c r="E12" s="460">
        <f>'Revenue Miles'!E5</f>
        <v>726302</v>
      </c>
    </row>
    <row r="13" spans="1:6">
      <c r="A13" s="461" t="s">
        <v>74</v>
      </c>
      <c r="B13" s="458" t="s">
        <v>79</v>
      </c>
      <c r="C13" s="459">
        <v>0</v>
      </c>
      <c r="D13" s="460">
        <f>'Revenue Hours'!E6</f>
        <v>7975</v>
      </c>
      <c r="E13" s="460">
        <f>'Revenue Miles'!E6</f>
        <v>124910</v>
      </c>
    </row>
    <row r="14" spans="1:6">
      <c r="A14" s="461" t="s">
        <v>80</v>
      </c>
      <c r="B14" s="458" t="s">
        <v>81</v>
      </c>
      <c r="C14" s="459">
        <v>0</v>
      </c>
      <c r="D14" s="460">
        <f>'Revenue Hours'!E7</f>
        <v>144029</v>
      </c>
      <c r="E14" s="460">
        <f>'Revenue Miles'!E7</f>
        <v>1616127</v>
      </c>
    </row>
    <row r="15" spans="1:6">
      <c r="A15" s="462"/>
      <c r="B15" s="463"/>
      <c r="C15" s="464" t="s">
        <v>134</v>
      </c>
      <c r="D15" s="465" t="e">
        <f>'Revenue Hours'!#REF!</f>
        <v>#REF!</v>
      </c>
      <c r="E15" s="465" t="e">
        <f>'Revenue Miles'!#REF!</f>
        <v>#REF!</v>
      </c>
    </row>
    <row r="16" spans="1:6">
      <c r="A16" s="461" t="s">
        <v>82</v>
      </c>
      <c r="B16" s="458" t="s">
        <v>83</v>
      </c>
      <c r="C16" s="459">
        <v>0</v>
      </c>
      <c r="D16" s="460">
        <f>'Revenue Hours'!E8</f>
        <v>38381</v>
      </c>
      <c r="E16" s="460">
        <f>'Revenue Miles'!E8</f>
        <v>532870</v>
      </c>
    </row>
    <row r="17" spans="1:5">
      <c r="A17" s="461" t="s">
        <v>84</v>
      </c>
      <c r="B17" s="458" t="s">
        <v>85</v>
      </c>
      <c r="C17" s="459">
        <v>0</v>
      </c>
      <c r="D17" s="460">
        <f>'Revenue Hours'!E9</f>
        <v>24537</v>
      </c>
      <c r="E17" s="460">
        <f>'Revenue Miles'!E9</f>
        <v>470169</v>
      </c>
    </row>
    <row r="18" spans="1:5">
      <c r="A18" s="461" t="s">
        <v>84</v>
      </c>
      <c r="B18" s="466" t="s">
        <v>86</v>
      </c>
      <c r="C18" s="459">
        <v>0</v>
      </c>
      <c r="D18" s="460">
        <f>'Revenue Hours'!E10</f>
        <v>3025</v>
      </c>
      <c r="E18" s="460">
        <f>'Revenue Miles'!E10</f>
        <v>53460</v>
      </c>
    </row>
    <row r="19" spans="1:5">
      <c r="A19" s="461" t="s">
        <v>84</v>
      </c>
      <c r="B19" s="458" t="s">
        <v>87</v>
      </c>
      <c r="C19" s="459">
        <v>0</v>
      </c>
      <c r="D19" s="460">
        <f>'Revenue Hours'!E11</f>
        <v>935916</v>
      </c>
      <c r="E19" s="460">
        <f>'Revenue Miles'!E11</f>
        <v>12877408</v>
      </c>
    </row>
    <row r="20" spans="1:5">
      <c r="A20" s="461" t="s">
        <v>84</v>
      </c>
      <c r="B20" s="458" t="s">
        <v>88</v>
      </c>
      <c r="C20" s="459">
        <v>0</v>
      </c>
      <c r="D20" s="460">
        <f>'Revenue Hours'!E12</f>
        <v>21730</v>
      </c>
      <c r="E20" s="460">
        <f>'Revenue Miles'!E12</f>
        <v>543346</v>
      </c>
    </row>
    <row r="21" spans="1:5">
      <c r="A21" s="461" t="s">
        <v>84</v>
      </c>
      <c r="B21" s="458" t="s">
        <v>89</v>
      </c>
      <c r="C21" s="459">
        <v>0</v>
      </c>
      <c r="D21" s="460">
        <f>'Revenue Hours'!E13</f>
        <v>953</v>
      </c>
      <c r="E21" s="460">
        <f>'Revenue Miles'!E13</f>
        <v>13408</v>
      </c>
    </row>
    <row r="22" spans="1:5">
      <c r="A22" s="461" t="s">
        <v>84</v>
      </c>
      <c r="B22" s="458" t="s">
        <v>90</v>
      </c>
      <c r="C22" s="459">
        <v>0</v>
      </c>
      <c r="D22" s="460">
        <f>'Revenue Hours'!E14</f>
        <v>69229</v>
      </c>
      <c r="E22" s="460">
        <f>'Revenue Miles'!E14</f>
        <v>1121781</v>
      </c>
    </row>
    <row r="23" spans="1:5">
      <c r="A23" s="461" t="s">
        <v>91</v>
      </c>
      <c r="B23" s="458" t="s">
        <v>92</v>
      </c>
      <c r="C23" s="459">
        <v>0</v>
      </c>
      <c r="D23" s="460">
        <f>'Revenue Hours'!E15</f>
        <v>32391</v>
      </c>
      <c r="E23" s="460">
        <f>'Revenue Miles'!E15</f>
        <v>522819</v>
      </c>
    </row>
    <row r="24" spans="1:5">
      <c r="A24" s="461" t="s">
        <v>91</v>
      </c>
      <c r="B24" s="458" t="s">
        <v>93</v>
      </c>
      <c r="C24" s="459">
        <v>0</v>
      </c>
      <c r="D24" s="460">
        <f>'Revenue Hours'!E16</f>
        <v>11641</v>
      </c>
      <c r="E24" s="460">
        <f>'Revenue Miles'!E16</f>
        <v>170330</v>
      </c>
    </row>
    <row r="25" spans="1:5">
      <c r="A25" s="461" t="s">
        <v>91</v>
      </c>
      <c r="B25" s="458" t="s">
        <v>94</v>
      </c>
      <c r="C25" s="459">
        <v>0</v>
      </c>
      <c r="D25" s="460">
        <f>'Revenue Hours'!E17</f>
        <v>82740</v>
      </c>
      <c r="E25" s="460">
        <f>'Revenue Miles'!E17</f>
        <v>1183040</v>
      </c>
    </row>
    <row r="26" spans="1:5">
      <c r="A26" s="461" t="s">
        <v>91</v>
      </c>
      <c r="B26" s="458" t="s">
        <v>95</v>
      </c>
      <c r="C26" s="459">
        <v>0</v>
      </c>
      <c r="D26" s="460">
        <f>'Revenue Hours'!E18</f>
        <v>3083</v>
      </c>
      <c r="E26" s="460">
        <f>'Revenue Miles'!E18</f>
        <v>52054</v>
      </c>
    </row>
    <row r="27" spans="1:5">
      <c r="A27" s="461" t="s">
        <v>96</v>
      </c>
      <c r="B27" s="458" t="s">
        <v>97</v>
      </c>
      <c r="C27" s="459">
        <v>0</v>
      </c>
      <c r="D27" s="460">
        <f>'Revenue Hours'!E19</f>
        <v>171928</v>
      </c>
      <c r="E27" s="460">
        <f>'Revenue Miles'!E19</f>
        <v>3402392</v>
      </c>
    </row>
    <row r="28" spans="1:5">
      <c r="A28" s="461" t="s">
        <v>96</v>
      </c>
      <c r="B28" s="458" t="s">
        <v>98</v>
      </c>
      <c r="C28" s="459">
        <v>0</v>
      </c>
      <c r="D28" s="460">
        <f>'Revenue Hours'!E20</f>
        <v>225969</v>
      </c>
      <c r="E28" s="460">
        <f>'Revenue Miles'!E20</f>
        <v>2247168</v>
      </c>
    </row>
    <row r="29" spans="1:5">
      <c r="A29" s="461" t="s">
        <v>96</v>
      </c>
      <c r="B29" s="458" t="s">
        <v>99</v>
      </c>
      <c r="C29" s="459">
        <v>0</v>
      </c>
      <c r="D29" s="460">
        <f>'Revenue Hours'!E21</f>
        <v>318474</v>
      </c>
      <c r="E29" s="460">
        <f>'Revenue Miles'!E21</f>
        <v>2959703</v>
      </c>
    </row>
    <row r="30" spans="1:5">
      <c r="A30" s="461" t="s">
        <v>96</v>
      </c>
      <c r="B30" s="458" t="s">
        <v>100</v>
      </c>
      <c r="C30" s="459">
        <v>0</v>
      </c>
      <c r="D30" s="460">
        <f>'Revenue Hours'!E22</f>
        <v>34553</v>
      </c>
      <c r="E30" s="460">
        <f>'Revenue Miles'!E22</f>
        <v>434479</v>
      </c>
    </row>
    <row r="31" spans="1:5">
      <c r="A31" s="461" t="s">
        <v>96</v>
      </c>
      <c r="B31" s="458" t="s">
        <v>101</v>
      </c>
      <c r="C31" s="459">
        <v>0</v>
      </c>
      <c r="D31" s="460">
        <f>'Revenue Hours'!E23</f>
        <v>879010</v>
      </c>
      <c r="E31" s="460">
        <f>'Revenue Miles'!E23</f>
        <v>11834233</v>
      </c>
    </row>
    <row r="32" spans="1:5">
      <c r="A32" s="461" t="s">
        <v>96</v>
      </c>
      <c r="B32" s="458" t="s">
        <v>135</v>
      </c>
      <c r="C32" s="459">
        <v>0</v>
      </c>
      <c r="D32" s="460" t="e">
        <f>'Revenue Hours'!#REF!</f>
        <v>#REF!</v>
      </c>
      <c r="E32" s="460" t="e">
        <f>'Revenue Miles'!#REF!</f>
        <v>#REF!</v>
      </c>
    </row>
    <row r="33" spans="1:5">
      <c r="A33" s="461" t="s">
        <v>96</v>
      </c>
      <c r="B33" s="458" t="s">
        <v>102</v>
      </c>
      <c r="C33" s="459">
        <v>0</v>
      </c>
      <c r="D33" s="460">
        <f>'Revenue Hours'!E24</f>
        <v>196723.52001949801</v>
      </c>
      <c r="E33" s="460">
        <f>'Revenue Miles'!E24</f>
        <v>4028184.9596947301</v>
      </c>
    </row>
    <row r="34" spans="1:5">
      <c r="A34" s="461" t="s">
        <v>103</v>
      </c>
      <c r="B34" s="458" t="s">
        <v>104</v>
      </c>
      <c r="C34" s="459">
        <v>0</v>
      </c>
      <c r="D34" s="460">
        <f>'Revenue Hours'!E25</f>
        <v>44373</v>
      </c>
      <c r="E34" s="460">
        <f>'Revenue Miles'!E25</f>
        <v>571373</v>
      </c>
    </row>
    <row r="35" spans="1:5">
      <c r="A35" s="461" t="s">
        <v>103</v>
      </c>
      <c r="B35" s="458" t="s">
        <v>105</v>
      </c>
      <c r="C35" s="459">
        <v>0</v>
      </c>
      <c r="D35" s="460">
        <f>'Revenue Hours'!E26</f>
        <v>735603</v>
      </c>
      <c r="E35" s="460">
        <f>'Revenue Miles'!E26</f>
        <v>9029698</v>
      </c>
    </row>
    <row r="36" spans="1:5">
      <c r="A36" s="461" t="s">
        <v>106</v>
      </c>
      <c r="B36" s="467" t="s">
        <v>107</v>
      </c>
      <c r="C36" s="459">
        <v>0</v>
      </c>
      <c r="D36" s="460">
        <f>'Revenue Hours'!E28</f>
        <v>121490</v>
      </c>
      <c r="E36" s="460">
        <f>'Revenue Miles'!E28</f>
        <v>1225247</v>
      </c>
    </row>
    <row r="37" spans="1:5">
      <c r="A37" s="461" t="s">
        <v>106</v>
      </c>
      <c r="B37" s="458" t="s">
        <v>108</v>
      </c>
      <c r="C37" s="459">
        <v>0</v>
      </c>
      <c r="D37" s="460">
        <f>'Revenue Hours'!E29</f>
        <v>35518.39</v>
      </c>
      <c r="E37" s="460">
        <f>'Revenue Miles'!E29</f>
        <v>415651.78999999992</v>
      </c>
    </row>
    <row r="38" spans="1:5">
      <c r="A38" s="461" t="s">
        <v>106</v>
      </c>
      <c r="B38" s="468" t="s">
        <v>109</v>
      </c>
      <c r="C38" s="459">
        <v>0</v>
      </c>
      <c r="D38" s="460">
        <f>'Revenue Hours'!E30</f>
        <v>156195</v>
      </c>
      <c r="E38" s="460">
        <f>'Revenue Miles'!E30</f>
        <v>2558671</v>
      </c>
    </row>
    <row r="39" spans="1:5">
      <c r="A39" s="461" t="s">
        <v>106</v>
      </c>
      <c r="B39" s="458" t="s">
        <v>110</v>
      </c>
      <c r="C39" s="459">
        <v>0</v>
      </c>
      <c r="D39" s="460">
        <f>'Revenue Hours'!E31</f>
        <v>18376</v>
      </c>
      <c r="E39" s="460">
        <f>'Revenue Miles'!E31</f>
        <v>230357</v>
      </c>
    </row>
    <row r="40" spans="1:5">
      <c r="A40" s="461" t="s">
        <v>111</v>
      </c>
      <c r="B40" s="458" t="s">
        <v>112</v>
      </c>
      <c r="C40" s="459">
        <v>0</v>
      </c>
      <c r="D40" s="460">
        <f>'Revenue Hours'!E32</f>
        <v>36644</v>
      </c>
      <c r="E40" s="460">
        <f>'Revenue Miles'!E32</f>
        <v>709247</v>
      </c>
    </row>
    <row r="41" spans="1:5">
      <c r="A41" s="461" t="s">
        <v>111</v>
      </c>
      <c r="B41" s="458" t="s">
        <v>113</v>
      </c>
      <c r="C41" s="459">
        <v>0</v>
      </c>
      <c r="D41" s="460">
        <f>'Revenue Hours'!E33</f>
        <v>78270</v>
      </c>
      <c r="E41" s="460">
        <f>'Revenue Miles'!E33</f>
        <v>793294</v>
      </c>
    </row>
    <row r="42" spans="1:5">
      <c r="A42" s="461" t="s">
        <v>111</v>
      </c>
      <c r="B42" s="458" t="s">
        <v>114</v>
      </c>
      <c r="C42" s="459">
        <v>0</v>
      </c>
      <c r="D42" s="460">
        <f>'Revenue Hours'!E34</f>
        <v>27972</v>
      </c>
      <c r="E42" s="460">
        <f>'Revenue Miles'!E34</f>
        <v>388329</v>
      </c>
    </row>
    <row r="43" spans="1:5">
      <c r="A43" s="461" t="s">
        <v>115</v>
      </c>
      <c r="B43" s="458" t="s">
        <v>116</v>
      </c>
      <c r="C43" s="459">
        <v>0</v>
      </c>
      <c r="D43" s="460">
        <f>'Revenue Hours'!E35</f>
        <v>59749</v>
      </c>
      <c r="E43" s="460">
        <f>'Revenue Miles'!E35</f>
        <v>1316507</v>
      </c>
    </row>
    <row r="44" spans="1:5">
      <c r="A44" s="461" t="s">
        <v>115</v>
      </c>
      <c r="B44" s="458" t="s">
        <v>117</v>
      </c>
      <c r="C44" s="459">
        <v>0</v>
      </c>
      <c r="D44" s="460">
        <f>'Revenue Hours'!E36</f>
        <v>14739</v>
      </c>
      <c r="E44" s="460">
        <f>'Revenue Miles'!E36</f>
        <v>375346</v>
      </c>
    </row>
    <row r="45" spans="1:5">
      <c r="A45" s="461" t="s">
        <v>115</v>
      </c>
      <c r="B45" s="458" t="s">
        <v>118</v>
      </c>
      <c r="C45" s="459">
        <v>0</v>
      </c>
      <c r="D45" s="460">
        <f>'Revenue Hours'!E37</f>
        <v>45862</v>
      </c>
      <c r="E45" s="460">
        <f>'Revenue Miles'!E37</f>
        <v>890440</v>
      </c>
    </row>
    <row r="46" spans="1:5">
      <c r="A46" s="461" t="s">
        <v>115</v>
      </c>
      <c r="B46" s="458" t="s">
        <v>119</v>
      </c>
      <c r="C46" s="459">
        <v>0</v>
      </c>
      <c r="D46" s="460">
        <f>'Revenue Hours'!E38</f>
        <v>5116</v>
      </c>
      <c r="E46" s="460">
        <f>'Revenue Miles'!E38</f>
        <v>57889</v>
      </c>
    </row>
    <row r="47" spans="1:5">
      <c r="A47" s="461" t="s">
        <v>115</v>
      </c>
      <c r="B47" s="458" t="s">
        <v>120</v>
      </c>
      <c r="C47" s="459">
        <v>0</v>
      </c>
      <c r="D47" s="460">
        <f>'Revenue Hours'!E39</f>
        <v>17965</v>
      </c>
      <c r="E47" s="460">
        <f>'Revenue Miles'!E39</f>
        <v>302041</v>
      </c>
    </row>
    <row r="48" spans="1:5">
      <c r="A48" s="469" t="s">
        <v>115</v>
      </c>
      <c r="B48" s="470" t="s">
        <v>121</v>
      </c>
      <c r="C48" s="459">
        <v>0</v>
      </c>
      <c r="D48" s="471">
        <f>'Revenue Hours'!E40</f>
        <v>65376</v>
      </c>
      <c r="E48" s="471">
        <f>'Revenue Miles'!E40</f>
        <v>983647</v>
      </c>
    </row>
    <row r="49" spans="1:5" s="18" customFormat="1" ht="16.5" thickBot="1">
      <c r="A49" s="472"/>
      <c r="B49" s="473" t="s">
        <v>122</v>
      </c>
      <c r="C49" s="474">
        <f>SUM(C9:C48)</f>
        <v>0</v>
      </c>
      <c r="D49" s="474" t="e">
        <f>SUM(D9:D48)</f>
        <v>#REF!</v>
      </c>
      <c r="E49" s="474" t="e">
        <f>SUM(E9:E48)</f>
        <v>#REF!</v>
      </c>
    </row>
    <row r="50" spans="1:5">
      <c r="B50" s="475"/>
      <c r="D50" s="475"/>
      <c r="E50" s="475"/>
    </row>
  </sheetData>
  <sheetProtection sheet="1" objects="1" scenarios="1"/>
  <mergeCells count="1">
    <mergeCell ref="C7:E7"/>
  </mergeCells>
  <printOptions horizontalCentered="1"/>
  <pageMargins left="0.25" right="0.25" top="0.75" bottom="0.75" header="0.3" footer="0.3"/>
  <pageSetup paperSize="17" scale="10" orientation="landscape" r:id="rId1"/>
  <headerFooter alignWithMargins="0"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51D18-DB89-40A6-985A-52EC679C213B}">
  <sheetPr>
    <tabColor rgb="FF7030A0"/>
    <pageSetUpPr fitToPage="1"/>
  </sheetPr>
  <dimension ref="A1:Q36"/>
  <sheetViews>
    <sheetView tabSelected="1" zoomScaleNormal="100" workbookViewId="0">
      <selection activeCell="Q8" sqref="Q8"/>
    </sheetView>
  </sheetViews>
  <sheetFormatPr defaultRowHeight="12.5"/>
  <cols>
    <col min="1" max="1" width="36.26953125" customWidth="1"/>
    <col min="2" max="2" width="14.54296875" customWidth="1"/>
    <col min="3" max="3" width="13.81640625" customWidth="1"/>
    <col min="4" max="6" width="12.81640625" customWidth="1"/>
    <col min="7" max="7" width="12.81640625" hidden="1" customWidth="1"/>
    <col min="8" max="8" width="13.54296875" hidden="1" customWidth="1"/>
    <col min="9" max="16" width="15.26953125" customWidth="1"/>
    <col min="17" max="17" width="13.36328125" customWidth="1"/>
  </cols>
  <sheetData>
    <row r="1" spans="1:17" ht="14.25" customHeight="1">
      <c r="A1" s="303" t="s">
        <v>207</v>
      </c>
      <c r="B1" s="303"/>
      <c r="C1" s="303"/>
      <c r="D1" s="303"/>
      <c r="E1" s="303"/>
      <c r="F1" s="303"/>
      <c r="G1" s="303"/>
      <c r="H1" s="340"/>
      <c r="I1" s="303"/>
      <c r="J1" s="305"/>
      <c r="K1" s="305"/>
      <c r="L1" s="305"/>
      <c r="M1" s="477" t="s">
        <v>217</v>
      </c>
      <c r="N1" s="477"/>
      <c r="O1" s="477"/>
      <c r="P1" s="477"/>
      <c r="Q1" s="305"/>
    </row>
    <row r="2" spans="1:17" ht="21">
      <c r="A2" s="341" t="s">
        <v>237</v>
      </c>
      <c r="B2" s="303"/>
      <c r="C2" s="303"/>
      <c r="D2" s="303"/>
      <c r="E2" s="303"/>
      <c r="F2" s="303"/>
      <c r="G2" s="303"/>
      <c r="H2" s="303"/>
      <c r="I2" s="303"/>
      <c r="J2" s="305"/>
      <c r="K2" s="305"/>
      <c r="L2" s="305"/>
      <c r="M2" s="305"/>
      <c r="N2" s="305"/>
      <c r="O2" s="305"/>
      <c r="P2" s="305"/>
      <c r="Q2" s="304"/>
    </row>
    <row r="3" spans="1:17" ht="14" customHeight="1">
      <c r="A3" s="342" t="s">
        <v>208</v>
      </c>
      <c r="B3" s="303"/>
      <c r="C3" s="303"/>
      <c r="D3" s="303"/>
      <c r="E3" s="303"/>
      <c r="F3" s="303"/>
      <c r="G3" s="303"/>
      <c r="H3" s="303"/>
      <c r="I3" s="303"/>
      <c r="J3" s="305"/>
      <c r="K3" s="305"/>
      <c r="L3" s="305"/>
      <c r="M3" s="305"/>
      <c r="N3" s="305"/>
      <c r="O3" s="304"/>
      <c r="P3" s="304"/>
      <c r="Q3" s="304"/>
    </row>
    <row r="4" spans="1:17" ht="14.25" customHeight="1">
      <c r="A4" s="343">
        <f ca="1">TODAY()</f>
        <v>46148</v>
      </c>
      <c r="B4" s="303"/>
      <c r="C4" s="303"/>
      <c r="D4" s="303"/>
      <c r="E4" s="303"/>
      <c r="F4" s="303"/>
      <c r="G4" s="303"/>
      <c r="H4" s="303"/>
      <c r="I4" s="303"/>
      <c r="J4" s="305"/>
      <c r="K4" s="305"/>
      <c r="L4" s="305"/>
      <c r="M4" s="305"/>
      <c r="N4" s="305"/>
      <c r="O4" s="304"/>
      <c r="P4" s="304"/>
      <c r="Q4" s="304"/>
    </row>
    <row r="5" spans="1:17" ht="35.25" customHeight="1" thickBot="1">
      <c r="A5" s="344"/>
      <c r="B5" s="303"/>
      <c r="C5" s="303"/>
      <c r="D5" s="303"/>
      <c r="E5" s="303"/>
      <c r="F5" s="303"/>
      <c r="G5" s="303"/>
      <c r="H5" s="303"/>
      <c r="I5" s="303"/>
      <c r="J5" s="305"/>
      <c r="K5" s="305"/>
      <c r="L5" s="305"/>
      <c r="M5" s="476" t="s">
        <v>238</v>
      </c>
      <c r="N5" s="476"/>
      <c r="O5" s="476"/>
      <c r="P5" s="476"/>
      <c r="Q5" s="304"/>
    </row>
    <row r="6" spans="1:17" ht="17" thickBot="1">
      <c r="A6" s="303"/>
      <c r="B6" s="345"/>
      <c r="C6" s="304"/>
      <c r="D6" s="304"/>
      <c r="E6" s="304"/>
      <c r="F6" s="304"/>
      <c r="G6" s="304"/>
      <c r="H6" s="304"/>
      <c r="I6" s="483" t="s">
        <v>234</v>
      </c>
      <c r="J6" s="484"/>
      <c r="K6" s="484"/>
      <c r="L6" s="484"/>
      <c r="M6" s="481" t="s">
        <v>225</v>
      </c>
      <c r="N6" s="481"/>
      <c r="O6" s="481"/>
      <c r="P6" s="482"/>
      <c r="Q6" s="311"/>
    </row>
    <row r="7" spans="1:17" ht="20.5" customHeight="1" thickBot="1">
      <c r="A7" s="303"/>
      <c r="B7" s="346"/>
      <c r="C7" s="304"/>
      <c r="D7" s="304"/>
      <c r="E7" s="304"/>
      <c r="F7" s="304"/>
      <c r="G7" s="304"/>
      <c r="H7" s="304"/>
      <c r="I7" s="347" t="s">
        <v>191</v>
      </c>
      <c r="J7" s="317" t="s">
        <v>190</v>
      </c>
      <c r="K7" s="317" t="s">
        <v>189</v>
      </c>
      <c r="L7" s="317" t="s">
        <v>188</v>
      </c>
      <c r="M7" s="317" t="s">
        <v>191</v>
      </c>
      <c r="N7" s="317" t="s">
        <v>190</v>
      </c>
      <c r="O7" s="317" t="s">
        <v>189</v>
      </c>
      <c r="P7" s="318" t="s">
        <v>188</v>
      </c>
      <c r="Q7" s="321" t="s">
        <v>239</v>
      </c>
    </row>
    <row r="8" spans="1:17" ht="21.75" customHeight="1" thickBot="1">
      <c r="A8" s="303"/>
      <c r="B8" s="303"/>
      <c r="C8" s="304"/>
      <c r="D8" s="304"/>
      <c r="E8" s="304"/>
      <c r="F8" s="304"/>
      <c r="G8" s="304"/>
      <c r="H8" s="304"/>
      <c r="I8" s="348">
        <v>0.5</v>
      </c>
      <c r="J8" s="349">
        <v>0.3</v>
      </c>
      <c r="K8" s="349">
        <v>0.1</v>
      </c>
      <c r="L8" s="349">
        <v>0.1</v>
      </c>
      <c r="M8" s="319">
        <v>0.4</v>
      </c>
      <c r="N8" s="319">
        <v>0.3</v>
      </c>
      <c r="O8" s="319">
        <v>0.15</v>
      </c>
      <c r="P8" s="320">
        <v>0.15</v>
      </c>
      <c r="Q8" s="312">
        <f>SUM(M8:P8)</f>
        <v>1</v>
      </c>
    </row>
    <row r="9" spans="1:17" ht="36.75" customHeight="1" thickBot="1">
      <c r="A9" s="303"/>
      <c r="B9" s="303"/>
      <c r="C9" s="304"/>
      <c r="D9" s="304"/>
      <c r="E9" s="304"/>
      <c r="F9" s="304"/>
      <c r="G9" s="304"/>
      <c r="I9" s="306"/>
      <c r="J9" s="306"/>
      <c r="K9" s="306"/>
      <c r="L9" s="306"/>
      <c r="M9" s="306"/>
      <c r="N9" s="306"/>
      <c r="O9" s="307"/>
      <c r="P9" s="304"/>
      <c r="Q9" s="331" t="s">
        <v>242</v>
      </c>
    </row>
    <row r="10" spans="1:17" ht="15" customHeight="1" thickBot="1">
      <c r="A10" s="340"/>
      <c r="B10" s="478" t="s">
        <v>229</v>
      </c>
      <c r="C10" s="479"/>
      <c r="D10" s="479"/>
      <c r="E10" s="479"/>
      <c r="F10" s="479"/>
      <c r="G10" s="480"/>
      <c r="H10" s="480"/>
      <c r="I10" s="485" t="s">
        <v>234</v>
      </c>
      <c r="J10" s="485"/>
      <c r="K10" s="485"/>
      <c r="L10" s="485"/>
      <c r="M10" s="486" t="s">
        <v>225</v>
      </c>
      <c r="N10" s="486"/>
      <c r="O10" s="486"/>
      <c r="P10" s="486"/>
      <c r="Q10" s="304"/>
    </row>
    <row r="11" spans="1:17" ht="64.5" thickBot="1">
      <c r="A11" s="350" t="s">
        <v>236</v>
      </c>
      <c r="B11" s="351" t="s">
        <v>235</v>
      </c>
      <c r="C11" s="352" t="s">
        <v>230</v>
      </c>
      <c r="D11" s="352" t="s">
        <v>231</v>
      </c>
      <c r="E11" s="352" t="s">
        <v>232</v>
      </c>
      <c r="F11" s="352" t="s">
        <v>233</v>
      </c>
      <c r="G11" s="352" t="s">
        <v>240</v>
      </c>
      <c r="H11" s="352" t="s">
        <v>241</v>
      </c>
      <c r="I11" s="353" t="s">
        <v>227</v>
      </c>
      <c r="J11" s="354" t="s">
        <v>226</v>
      </c>
      <c r="K11" s="354"/>
      <c r="L11" s="355" t="s">
        <v>210</v>
      </c>
      <c r="M11" s="313" t="s">
        <v>228</v>
      </c>
      <c r="N11" s="330" t="s">
        <v>224</v>
      </c>
      <c r="O11" s="330"/>
      <c r="P11" s="314" t="s">
        <v>210</v>
      </c>
      <c r="Q11" s="304"/>
    </row>
    <row r="12" spans="1:17" ht="16">
      <c r="A12" s="356" t="s">
        <v>99</v>
      </c>
      <c r="B12" s="357">
        <f>VLOOKUP($A12, 'Allocation Calculations'!$B$12:$G$50, 3, FALSE)</f>
        <v>31465620</v>
      </c>
      <c r="C12" s="358">
        <f>VLOOKUP($A12, OpCost[], 9, FALSE)</f>
        <v>33180432.666666668</v>
      </c>
      <c r="D12" s="359">
        <f>VLOOKUP($A12, Ridership[],9, FALSE)</f>
        <v>5230034.333333333</v>
      </c>
      <c r="E12" s="359">
        <f>VLOOKUP($A12, VRHsizing[], 9, FALSE)</f>
        <v>312645.77</v>
      </c>
      <c r="F12" s="359">
        <f>VLOOKUP($A12, VRMsizing[],9, FALSE)</f>
        <v>2953838.6666666665</v>
      </c>
      <c r="G12" s="360">
        <f>IFERROR($I$8*(C12/C$22),0) + IFERROR($J$8*(D12/D$22),0) + IFERROR($K$8*(E12/E$22),0) + IFERROR($L$8*(F12/F$22),0)</f>
        <v>8.6705809737561063E-2</v>
      </c>
      <c r="H12" s="360">
        <f t="shared" ref="H12:H21" si="0">IFERROR($M$8*(C12/C$22),0) + IFERROR($N$8*(D12/D$22),0) + IFERROR($O$8*(E12/E$22),0) + IFERROR($P$8*(F12/F$22),0)</f>
        <v>8.714175267919233E-2</v>
      </c>
      <c r="I12" s="361">
        <f>G12/SUM($G$12:$G$21)</f>
        <v>8.6705809737561076E-2</v>
      </c>
      <c r="J12" s="362">
        <f>MIN(0.3*LargeUrban!B12,LargeUrban!I12*Assumptions!$C$12)</f>
        <v>9260765.2816984616</v>
      </c>
      <c r="K12" s="362"/>
      <c r="L12" s="363">
        <f>I12*Assumptions!$C$12-LargeUrban!J12</f>
        <v>0</v>
      </c>
      <c r="M12" s="322">
        <f t="shared" ref="M12:M21" si="1">H12/SUM($H$12:$H$21)</f>
        <v>8.714175267919233E-2</v>
      </c>
      <c r="N12" s="328">
        <f>MIN(0.3*B12,M12*Assumptions!$C$12)</f>
        <v>9307326.9281542152</v>
      </c>
      <c r="O12" s="328"/>
      <c r="P12" s="323">
        <f>M12*Assumptions!$C$12-N12</f>
        <v>0</v>
      </c>
      <c r="Q12" s="304"/>
    </row>
    <row r="13" spans="1:17" ht="16">
      <c r="A13" s="364" t="s">
        <v>98</v>
      </c>
      <c r="B13" s="365">
        <f>VLOOKUP($A13, 'Allocation Calculations'!$B$12:$G$50, 3, FALSE)</f>
        <v>27825334</v>
      </c>
      <c r="C13" s="366">
        <f>VLOOKUP($A13, OpCost[], 9, FALSE)</f>
        <v>26618830.333333332</v>
      </c>
      <c r="D13" s="367">
        <f>VLOOKUP($A13, Ridership[],9, FALSE)</f>
        <v>2401651</v>
      </c>
      <c r="E13" s="367">
        <f>VLOOKUP($A13, VRHsizing[], 9, FALSE)</f>
        <v>224367.33333333334</v>
      </c>
      <c r="F13" s="367">
        <f>VLOOKUP($A13, VRMsizing[],9, FALSE)</f>
        <v>2260861.6666666665</v>
      </c>
      <c r="G13" s="360">
        <f t="shared" ref="G13:G21" si="2">IFERROR($I$8*(C13/C$22),0) + IFERROR($J$8*(D13/D$22),0) + IFERROR($K$8*(E13/E$22),0) + IFERROR($L$8*(F13/F$22),0)</f>
        <v>5.5550360062336351E-2</v>
      </c>
      <c r="H13" s="368">
        <f t="shared" si="0"/>
        <v>5.5426424347235041E-2</v>
      </c>
      <c r="I13" s="361">
        <f t="shared" ref="I13:I21" si="3">G13/SUM($G$12:$G$21)</f>
        <v>5.5550360062336358E-2</v>
      </c>
      <c r="J13" s="362">
        <f>MIN(0.3*LargeUrban!B13,LargeUrban!I13*Assumptions!$C$12)</f>
        <v>5933153.1232823227</v>
      </c>
      <c r="K13" s="362"/>
      <c r="L13" s="363">
        <f>I13*Assumptions!$C$12-LargeUrban!J13</f>
        <v>0</v>
      </c>
      <c r="M13" s="324">
        <f t="shared" si="1"/>
        <v>5.5426424347235041E-2</v>
      </c>
      <c r="N13" s="328">
        <f>MIN(0.3*B13,M13*Assumptions!$C$12)</f>
        <v>5919915.953004498</v>
      </c>
      <c r="O13" s="328"/>
      <c r="P13" s="325">
        <f>M13*Assumptions!$C$12-N13</f>
        <v>0</v>
      </c>
      <c r="Q13" s="304"/>
    </row>
    <row r="14" spans="1:17" ht="16">
      <c r="A14" s="364" t="s">
        <v>100</v>
      </c>
      <c r="B14" s="365">
        <f>VLOOKUP($A14, 'Allocation Calculations'!$B$12:$G$50, 3, FALSE)</f>
        <v>5702607</v>
      </c>
      <c r="C14" s="366">
        <f>VLOOKUP($A14, OpCost[], 9, FALSE)</f>
        <v>5494844.666666667</v>
      </c>
      <c r="D14" s="367">
        <f>VLOOKUP($A14, Ridership[],9, FALSE)</f>
        <v>932885</v>
      </c>
      <c r="E14" s="367">
        <f>VLOOKUP($A14, VRHsizing[], 9, FALSE)</f>
        <v>34572.333333333336</v>
      </c>
      <c r="F14" s="367">
        <f>VLOOKUP($A14, VRMsizing[],9, FALSE)</f>
        <v>436061.33333333331</v>
      </c>
      <c r="G14" s="360">
        <f t="shared" si="2"/>
        <v>1.4264046409102079E-2</v>
      </c>
      <c r="H14" s="368">
        <f t="shared" si="0"/>
        <v>1.4045773794695514E-2</v>
      </c>
      <c r="I14" s="361">
        <f t="shared" si="3"/>
        <v>1.4264046409102081E-2</v>
      </c>
      <c r="J14" s="362">
        <f>MIN(0.3*LargeUrban!B14,LargeUrban!I14*Assumptions!$C$12)</f>
        <v>1523496.36272094</v>
      </c>
      <c r="K14" s="362"/>
      <c r="L14" s="363">
        <f>I14*Assumptions!$C$12-LargeUrban!J14</f>
        <v>0</v>
      </c>
      <c r="M14" s="324">
        <f t="shared" si="1"/>
        <v>1.4045773794695514E-2</v>
      </c>
      <c r="N14" s="328">
        <f>MIN(0.3*B14,M14*Assumptions!$C$12)</f>
        <v>1500183.3753264376</v>
      </c>
      <c r="O14" s="328"/>
      <c r="P14" s="325">
        <f>M14*Assumptions!$C$12-N14</f>
        <v>0</v>
      </c>
      <c r="Q14" s="304"/>
    </row>
    <row r="15" spans="1:17" ht="16">
      <c r="A15" s="364" t="s">
        <v>101</v>
      </c>
      <c r="B15" s="365">
        <f>VLOOKUP($A15, 'Allocation Calculations'!$B$12:$G$50, 3, FALSE)</f>
        <v>135419722</v>
      </c>
      <c r="C15" s="366">
        <f>VLOOKUP($A15, OpCost[], 9, FALSE)</f>
        <v>118347265.33333333</v>
      </c>
      <c r="D15" s="367">
        <f>VLOOKUP($A15, Ridership[],9, FALSE)</f>
        <v>8924625.666666666</v>
      </c>
      <c r="E15" s="367">
        <f>VLOOKUP($A15, VRHsizing[], 9, FALSE)</f>
        <v>849000.24566666654</v>
      </c>
      <c r="F15" s="367">
        <f>VLOOKUP($A15, VRMsizing[],9, FALSE)</f>
        <v>11241060.071</v>
      </c>
      <c r="G15" s="360">
        <f t="shared" si="2"/>
        <v>0.23247869142346267</v>
      </c>
      <c r="H15" s="368">
        <f t="shared" si="0"/>
        <v>0.23106014929826993</v>
      </c>
      <c r="I15" s="361">
        <f t="shared" si="3"/>
        <v>0.2324786914234627</v>
      </c>
      <c r="J15" s="362">
        <f>MIN(0.3*LargeUrban!B15,LargeUrban!I15*Assumptions!$C$12)</f>
        <v>24830292.235151581</v>
      </c>
      <c r="K15" s="362"/>
      <c r="L15" s="363">
        <f>I15*Assumptions!$C$12-LargeUrban!J15</f>
        <v>0</v>
      </c>
      <c r="M15" s="324">
        <f t="shared" si="1"/>
        <v>0.23106014929826993</v>
      </c>
      <c r="N15" s="328">
        <f>MIN(0.3*B15,M15*Assumptions!$C$12)</f>
        <v>24678782.368588153</v>
      </c>
      <c r="O15" s="328"/>
      <c r="P15" s="325">
        <f>M15*Assumptions!$C$12-N15</f>
        <v>0</v>
      </c>
      <c r="Q15" s="304"/>
    </row>
    <row r="16" spans="1:17" ht="16">
      <c r="A16" s="364" t="s">
        <v>165</v>
      </c>
      <c r="B16" s="365">
        <f>VLOOKUP($A16, 'Allocation Calculations'!$B$12:$G$50, 3, FALSE)</f>
        <v>27572539</v>
      </c>
      <c r="C16" s="366">
        <f>VLOOKUP($A16, OpCost[], 9, FALSE)</f>
        <v>23912876.333333332</v>
      </c>
      <c r="D16" s="367">
        <f>VLOOKUP($A16, Ridership[],9, FALSE)</f>
        <v>679241.66666666663</v>
      </c>
      <c r="E16" s="367">
        <f>VLOOKUP($A16, VRHsizing[], 9, FALSE)</f>
        <v>160118.64000000001</v>
      </c>
      <c r="F16" s="367">
        <f>VLOOKUP($A16, VRMsizing[],9, FALSE)</f>
        <v>3477414</v>
      </c>
      <c r="G16" s="360">
        <f t="shared" si="2"/>
        <v>4.0876291766162268E-2</v>
      </c>
      <c r="H16" s="368">
        <f t="shared" si="0"/>
        <v>4.1632491809496658E-2</v>
      </c>
      <c r="I16" s="361">
        <f t="shared" si="3"/>
        <v>4.0876291766162275E-2</v>
      </c>
      <c r="J16" s="362">
        <f>MIN(0.3*LargeUrban!B16,LargeUrban!I16*Assumptions!$C$12)</f>
        <v>4365863.6575614121</v>
      </c>
      <c r="K16" s="362"/>
      <c r="L16" s="363">
        <f>I16*Assumptions!$C$12-LargeUrban!J16</f>
        <v>0</v>
      </c>
      <c r="M16" s="324">
        <f t="shared" si="1"/>
        <v>4.1632491809496658E-2</v>
      </c>
      <c r="N16" s="328">
        <f>MIN(0.3*B16,M16*Assumptions!$C$12)</f>
        <v>4446630.9225062458</v>
      </c>
      <c r="O16" s="328"/>
      <c r="P16" s="325">
        <f>M16*Assumptions!$C$12-N16</f>
        <v>0</v>
      </c>
      <c r="Q16" s="304"/>
    </row>
    <row r="17" spans="1:17" ht="16">
      <c r="A17" s="364" t="s">
        <v>105</v>
      </c>
      <c r="B17" s="365">
        <f>VLOOKUP($A17, 'Allocation Calculations'!$B$12:$G$50, 3, FALSE)</f>
        <v>83270105</v>
      </c>
      <c r="C17" s="366">
        <f>VLOOKUP($A17, OpCost[], 9, FALSE)</f>
        <v>76201940</v>
      </c>
      <c r="D17" s="367">
        <f>VLOOKUP($A17, Ridership[],9, FALSE)</f>
        <v>10850216.333333334</v>
      </c>
      <c r="E17" s="367">
        <f>VLOOKUP($A17, VRHsizing[], 9, FALSE)</f>
        <v>651208.26333333331</v>
      </c>
      <c r="F17" s="367">
        <f>VLOOKUP($A17, VRMsizing[],9, FALSE)</f>
        <v>7929592.6866666665</v>
      </c>
      <c r="G17" s="360">
        <f t="shared" si="2"/>
        <v>0.1911111353333402</v>
      </c>
      <c r="H17" s="368">
        <f t="shared" si="0"/>
        <v>0.19233025050300351</v>
      </c>
      <c r="I17" s="361">
        <f t="shared" si="3"/>
        <v>0.19111113533334023</v>
      </c>
      <c r="J17" s="362">
        <f>MIN(0.3*LargeUrban!B17,LargeUrban!I17*Assumptions!$C$12)</f>
        <v>20411958.23437744</v>
      </c>
      <c r="K17" s="362"/>
      <c r="L17" s="363">
        <f>I17*Assumptions!$C$12-LargeUrban!J17</f>
        <v>0</v>
      </c>
      <c r="M17" s="324">
        <f t="shared" si="1"/>
        <v>0.19233025050300351</v>
      </c>
      <c r="N17" s="328">
        <f>MIN(0.3*B17,M17*Assumptions!$C$12)</f>
        <v>20542167.957022112</v>
      </c>
      <c r="O17" s="328"/>
      <c r="P17" s="325">
        <f>M17*Assumptions!$C$12-N17</f>
        <v>0</v>
      </c>
      <c r="Q17" s="304"/>
    </row>
    <row r="18" spans="1:17" ht="16">
      <c r="A18" s="364" t="s">
        <v>87</v>
      </c>
      <c r="B18" s="365">
        <f>VLOOKUP($A18, 'Allocation Calculations'!$B$12:$G$50, 3, FALSE)</f>
        <v>153334791</v>
      </c>
      <c r="C18" s="366">
        <f>VLOOKUP($A18, OpCost[], 9, FALSE)</f>
        <v>134315633.66666666</v>
      </c>
      <c r="D18" s="367">
        <f>VLOOKUP($A18, Ridership[],9, FALSE)</f>
        <v>8357236</v>
      </c>
      <c r="E18" s="367">
        <f>VLOOKUP($A18, VRHsizing[], 9, FALSE)</f>
        <v>964649.45000000007</v>
      </c>
      <c r="F18" s="367">
        <f>VLOOKUP($A18, VRMsizing[],9, FALSE)</f>
        <v>13414248.578866666</v>
      </c>
      <c r="G18" s="360">
        <f t="shared" si="2"/>
        <v>0.25228638868681413</v>
      </c>
      <c r="H18" s="368">
        <f t="shared" si="0"/>
        <v>0.25134507243720761</v>
      </c>
      <c r="I18" s="361">
        <f t="shared" si="3"/>
        <v>0.25228638868681419</v>
      </c>
      <c r="J18" s="362">
        <f>MIN(0.3*LargeUrban!B18,LargeUrban!I18*Assumptions!$C$12)</f>
        <v>26945887.899179794</v>
      </c>
      <c r="K18" s="362"/>
      <c r="L18" s="363">
        <f>I18*Assumptions!$C$12-LargeUrban!J18</f>
        <v>0</v>
      </c>
      <c r="M18" s="324">
        <f t="shared" si="1"/>
        <v>0.25134507243720761</v>
      </c>
      <c r="N18" s="328">
        <f>MIN(0.3*B18,M18*Assumptions!$C$12)</f>
        <v>26845348.974858105</v>
      </c>
      <c r="O18" s="328"/>
      <c r="P18" s="325">
        <f>M18*Assumptions!$C$12-N18</f>
        <v>0</v>
      </c>
      <c r="Q18" s="304"/>
    </row>
    <row r="19" spans="1:17" ht="16">
      <c r="A19" s="364" t="s">
        <v>104</v>
      </c>
      <c r="B19" s="365">
        <f>VLOOKUP($A19, 'Allocation Calculations'!$B$12:$G$50, 3, FALSE)</f>
        <v>5582819</v>
      </c>
      <c r="C19" s="366">
        <f>VLOOKUP($A19, OpCost[], 9, FALSE)</f>
        <v>4749472.666666667</v>
      </c>
      <c r="D19" s="367">
        <f>VLOOKUP($A19, Ridership[],9, FALSE)</f>
        <v>486378</v>
      </c>
      <c r="E19" s="367">
        <f>VLOOKUP($A19, VRHsizing[], 9, FALSE)</f>
        <v>43265.666666666664</v>
      </c>
      <c r="F19" s="367">
        <f>VLOOKUP($A19, VRMsizing[],9, FALSE)</f>
        <v>554676</v>
      </c>
      <c r="G19" s="360">
        <f t="shared" si="2"/>
        <v>1.072334288425706E-2</v>
      </c>
      <c r="H19" s="368">
        <f t="shared" si="0"/>
        <v>1.0896479348416943E-2</v>
      </c>
      <c r="I19" s="361">
        <f t="shared" si="3"/>
        <v>1.0723342884257062E-2</v>
      </c>
      <c r="J19" s="362">
        <f>MIN(0.3*LargeUrban!B19,LargeUrban!I19*Assumptions!$C$12)</f>
        <v>1145325.3454048119</v>
      </c>
      <c r="K19" s="362"/>
      <c r="L19" s="363">
        <f>I19*Assumptions!$C$12-LargeUrban!J19</f>
        <v>0</v>
      </c>
      <c r="M19" s="324">
        <f t="shared" si="1"/>
        <v>1.0896479348416943E-2</v>
      </c>
      <c r="N19" s="328">
        <f>MIN(0.3*B19,M19*Assumptions!$C$12)</f>
        <v>1163817.4875247104</v>
      </c>
      <c r="O19" s="328"/>
      <c r="P19" s="325">
        <f>M19*Assumptions!$C$12-N19</f>
        <v>0</v>
      </c>
      <c r="Q19" s="304"/>
    </row>
    <row r="20" spans="1:17" ht="16">
      <c r="A20" s="364" t="s">
        <v>109</v>
      </c>
      <c r="B20" s="365">
        <f>VLOOKUP($A20, 'Allocation Calculations'!$B$12:$G$50, 3, FALSE)</f>
        <v>11966953</v>
      </c>
      <c r="C20" s="366">
        <f>VLOOKUP($A20, OpCost[], 9, FALSE)</f>
        <v>13011593.333333334</v>
      </c>
      <c r="D20" s="367">
        <f>VLOOKUP($A20, Ridership[],9, FALSE)</f>
        <v>1379387</v>
      </c>
      <c r="E20" s="367">
        <f>VLOOKUP($A20, VRHsizing[], 9, FALSE)</f>
        <v>146926</v>
      </c>
      <c r="F20" s="367">
        <f>VLOOKUP($A20, VRMsizing[],9, FALSE)</f>
        <v>2395047.6666666665</v>
      </c>
      <c r="G20" s="360">
        <f t="shared" si="2"/>
        <v>3.2246470367108496E-2</v>
      </c>
      <c r="H20" s="368">
        <f t="shared" si="0"/>
        <v>3.3984497043221235E-2</v>
      </c>
      <c r="I20" s="361">
        <f t="shared" si="3"/>
        <v>3.2246470367108503E-2</v>
      </c>
      <c r="J20" s="362">
        <f>MIN(0.3*LargeUrban!B20,LargeUrban!I20*Assumptions!$C$12)</f>
        <v>3444140.5268794931</v>
      </c>
      <c r="K20" s="362"/>
      <c r="L20" s="363">
        <f>I20*Assumptions!$C$12-LargeUrban!J20</f>
        <v>0</v>
      </c>
      <c r="M20" s="324">
        <f t="shared" si="1"/>
        <v>3.3984497043221235E-2</v>
      </c>
      <c r="N20" s="328">
        <f>MIN(0.3*B20,M20*Assumptions!$C$12)</f>
        <v>3590085.9</v>
      </c>
      <c r="O20" s="328"/>
      <c r="P20" s="325">
        <f>M20*Assumptions!$C$12-N20</f>
        <v>39687.598297762219</v>
      </c>
      <c r="Q20" s="304"/>
    </row>
    <row r="21" spans="1:17" ht="16.5" thickBot="1">
      <c r="A21" s="369" t="s">
        <v>102</v>
      </c>
      <c r="B21" s="370">
        <f>VLOOKUP($A21, 'Allocation Calculations'!$B$12:$G$50, 3, FALSE)</f>
        <v>56380235</v>
      </c>
      <c r="C21" s="371">
        <f>VLOOKUP($A21, OpCost[], 9, FALSE)</f>
        <v>50499787.666666664</v>
      </c>
      <c r="D21" s="372">
        <f>VLOOKUP($A21, Ridership[],9, FALSE)</f>
        <v>1965817.3333333333</v>
      </c>
      <c r="E21" s="372">
        <f>VLOOKUP($A21, VRHsizing[], 9, FALSE)</f>
        <v>233530.57333983268</v>
      </c>
      <c r="F21" s="372">
        <f>VLOOKUP($A21, VRMsizing[],9, FALSE)</f>
        <v>5563161.3365649106</v>
      </c>
      <c r="G21" s="360">
        <f t="shared" si="2"/>
        <v>8.3757463329855647E-2</v>
      </c>
      <c r="H21" s="373">
        <f t="shared" si="0"/>
        <v>8.2137108739261167E-2</v>
      </c>
      <c r="I21" s="374">
        <f t="shared" si="3"/>
        <v>8.3757463329855661E-2</v>
      </c>
      <c r="J21" s="362">
        <f>MIN(0.3*LargeUrban!B21,LargeUrban!I21*Assumptions!$C$12)</f>
        <v>8945861.9997437503</v>
      </c>
      <c r="K21" s="362"/>
      <c r="L21" s="375">
        <f>I21*Assumptions!$C$12-LargeUrban!J21</f>
        <v>0</v>
      </c>
      <c r="M21" s="326">
        <f t="shared" si="1"/>
        <v>8.2137108739261167E-2</v>
      </c>
      <c r="N21" s="332">
        <f>MIN(0.3*B21,M21*Assumptions!$C$12)</f>
        <v>8772797.2007177435</v>
      </c>
      <c r="O21" s="332"/>
      <c r="P21" s="327">
        <f>M21*Assumptions!$C$12-N21</f>
        <v>0</v>
      </c>
      <c r="Q21" s="304"/>
    </row>
    <row r="22" spans="1:17" ht="16.5" thickBot="1">
      <c r="A22" s="376" t="s">
        <v>204</v>
      </c>
      <c r="B22" s="377" t="s">
        <v>134</v>
      </c>
      <c r="C22" s="378">
        <f>SUM(C12:C21)</f>
        <v>486332676.66666669</v>
      </c>
      <c r="D22" s="379">
        <f t="shared" ref="D22:F22" si="4">SUM(D12:D21)</f>
        <v>41207472.333333336</v>
      </c>
      <c r="E22" s="379">
        <f t="shared" si="4"/>
        <v>3620284.2756731659</v>
      </c>
      <c r="F22" s="379">
        <f t="shared" si="4"/>
        <v>50225962.00643158</v>
      </c>
      <c r="G22" s="380">
        <f>SUM(G12:G21)</f>
        <v>0.99999999999999989</v>
      </c>
      <c r="H22" s="380">
        <f t="shared" ref="H22" si="5">SUM(H12:H21)</f>
        <v>1</v>
      </c>
      <c r="I22" s="381">
        <f>SUM(I12:I21)</f>
        <v>1</v>
      </c>
      <c r="J22" s="382">
        <f>SUM(J12:J21)</f>
        <v>106806744.66600001</v>
      </c>
      <c r="K22" s="382"/>
      <c r="L22" s="383">
        <f>SUM(L12:L21)</f>
        <v>0</v>
      </c>
      <c r="M22" s="315">
        <f>SUM(M12:M21)</f>
        <v>1</v>
      </c>
      <c r="N22" s="333">
        <f>SUM(N12:N21)</f>
        <v>106767057.06770222</v>
      </c>
      <c r="O22" s="333"/>
      <c r="P22" s="316">
        <f>SUM(P12:P21)</f>
        <v>39687.598297762219</v>
      </c>
      <c r="Q22" s="304"/>
    </row>
    <row r="23" spans="1:17" ht="16.5" thickBot="1">
      <c r="A23" s="303"/>
      <c r="B23" s="303"/>
      <c r="C23" s="384"/>
      <c r="D23" s="385"/>
      <c r="E23" s="385"/>
      <c r="F23" s="385"/>
      <c r="G23" s="385"/>
      <c r="H23" s="386"/>
      <c r="I23" s="387"/>
      <c r="J23" s="388"/>
      <c r="K23" s="388"/>
      <c r="L23" s="388"/>
      <c r="M23" s="308"/>
      <c r="N23" s="309"/>
      <c r="O23" s="304"/>
      <c r="P23" s="310"/>
      <c r="Q23" s="304"/>
    </row>
    <row r="24" spans="1:17" ht="16">
      <c r="A24" s="389" t="s">
        <v>187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4"/>
      <c r="P24" s="304"/>
      <c r="Q24" s="304"/>
    </row>
    <row r="25" spans="1:17" ht="16">
      <c r="A25" s="390" t="s">
        <v>218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4"/>
      <c r="P25" s="304"/>
      <c r="Q25" s="304"/>
    </row>
    <row r="26" spans="1:17" ht="16">
      <c r="A26" s="390" t="s">
        <v>186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4"/>
      <c r="P26" s="304"/>
      <c r="Q26" s="304"/>
    </row>
    <row r="27" spans="1:17" ht="16">
      <c r="A27" s="390" t="s">
        <v>193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4"/>
      <c r="P27" s="304"/>
      <c r="Q27" s="304"/>
    </row>
    <row r="36" spans="3:3">
      <c r="C36" s="237"/>
    </row>
  </sheetData>
  <sheetProtection algorithmName="SHA-512" hashValue="nxSsUn1VPSjhWATz2jaDnjzDmeX26HutO+aK4zrzF4gAXO7mGDHX/j+fpNJ7zbkmR8EMdimgMoKYnDw+ssSyeg==" saltValue="xXOwQ+jd5tkbrz+hPYe1/w==" spinCount="100000" sheet="1" objects="1" scenarios="1"/>
  <mergeCells count="7">
    <mergeCell ref="M5:P5"/>
    <mergeCell ref="M1:P1"/>
    <mergeCell ref="B10:H10"/>
    <mergeCell ref="M6:P6"/>
    <mergeCell ref="I6:L6"/>
    <mergeCell ref="I10:L10"/>
    <mergeCell ref="M10:P10"/>
  </mergeCells>
  <conditionalFormatting sqref="Q8">
    <cfRule type="cellIs" dxfId="31" priority="1" operator="notEqual">
      <formula>1</formula>
    </cfRule>
  </conditionalFormatting>
  <conditionalFormatting sqref="Q9">
    <cfRule type="expression" dxfId="30" priority="13">
      <formula>$Q$8&lt;&gt; 100%</formula>
    </cfRule>
  </conditionalFormatting>
  <pageMargins left="0.2" right="0.2" top="0.75" bottom="0.75" header="0.3" footer="0.3"/>
  <pageSetup scale="67" orientation="landscape" r:id="rId1"/>
  <ignoredErrors>
    <ignoredError sqref="Q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A6AC-04DF-4FD3-8272-2EB5824927B8}">
  <sheetPr>
    <tabColor rgb="FF7030A0"/>
    <pageSetUpPr fitToPage="1"/>
  </sheetPr>
  <dimension ref="A1:R35"/>
  <sheetViews>
    <sheetView zoomScaleNormal="100" workbookViewId="0">
      <selection activeCell="N9" sqref="N9"/>
    </sheetView>
  </sheetViews>
  <sheetFormatPr defaultRowHeight="12.5"/>
  <cols>
    <col min="1" max="1" width="47.36328125" customWidth="1"/>
    <col min="2" max="2" width="14.54296875" customWidth="1"/>
    <col min="3" max="3" width="13.81640625" customWidth="1"/>
    <col min="4" max="6" width="12.81640625" customWidth="1"/>
    <col min="7" max="7" width="12.81640625" hidden="1" customWidth="1"/>
    <col min="8" max="8" width="13.54296875" hidden="1" customWidth="1"/>
    <col min="9" max="16" width="15.26953125" customWidth="1"/>
    <col min="17" max="17" width="14.54296875" customWidth="1"/>
  </cols>
  <sheetData>
    <row r="1" spans="1:18" ht="14.25" customHeight="1">
      <c r="A1" s="303" t="s">
        <v>207</v>
      </c>
      <c r="B1" s="303"/>
      <c r="C1" s="303"/>
      <c r="D1" s="303"/>
      <c r="E1" s="303"/>
      <c r="F1" s="303"/>
      <c r="G1" s="303"/>
      <c r="H1" s="340"/>
      <c r="I1" s="303"/>
      <c r="J1" s="305"/>
      <c r="K1" s="305"/>
      <c r="L1" s="305"/>
      <c r="M1" s="477" t="s">
        <v>217</v>
      </c>
      <c r="N1" s="477"/>
      <c r="O1" s="477"/>
      <c r="P1" s="477"/>
      <c r="Q1" s="305"/>
    </row>
    <row r="2" spans="1:18" ht="21">
      <c r="A2" s="341" t="s">
        <v>237</v>
      </c>
      <c r="B2" s="303"/>
      <c r="C2" s="303"/>
      <c r="D2" s="303"/>
      <c r="E2" s="303"/>
      <c r="F2" s="303"/>
      <c r="G2" s="303"/>
      <c r="H2" s="340"/>
      <c r="I2" s="303"/>
      <c r="J2" s="305"/>
      <c r="K2" s="305"/>
      <c r="L2" s="305"/>
      <c r="M2" s="305"/>
      <c r="N2" s="305"/>
      <c r="O2" s="305"/>
      <c r="P2" s="305"/>
      <c r="Q2" s="304"/>
    </row>
    <row r="3" spans="1:18" ht="14.25" customHeight="1">
      <c r="A3" s="342" t="s">
        <v>209</v>
      </c>
      <c r="B3" s="303"/>
      <c r="C3" s="303"/>
      <c r="D3" s="303"/>
      <c r="E3" s="303"/>
      <c r="F3" s="303"/>
      <c r="G3" s="303"/>
      <c r="H3" s="340"/>
      <c r="I3" s="303"/>
      <c r="J3" s="305"/>
      <c r="K3" s="305"/>
      <c r="L3" s="305"/>
      <c r="M3" s="305"/>
      <c r="N3" s="305"/>
      <c r="O3" s="304"/>
      <c r="P3" s="304"/>
      <c r="Q3" s="304"/>
    </row>
    <row r="4" spans="1:18" ht="14.25" customHeight="1">
      <c r="A4" s="343">
        <f ca="1">TODAY()</f>
        <v>46148</v>
      </c>
      <c r="B4" s="303"/>
      <c r="C4" s="303"/>
      <c r="D4" s="303"/>
      <c r="E4" s="303"/>
      <c r="F4" s="303"/>
      <c r="G4" s="303"/>
      <c r="H4" s="340"/>
      <c r="I4" s="303"/>
      <c r="J4" s="305"/>
      <c r="K4" s="305"/>
      <c r="L4" s="305"/>
      <c r="M4" s="305"/>
      <c r="N4" s="305"/>
      <c r="O4" s="304"/>
      <c r="P4" s="304"/>
      <c r="Q4" s="304"/>
    </row>
    <row r="5" spans="1:18" ht="35.25" customHeight="1" thickBot="1">
      <c r="A5" s="344"/>
      <c r="B5" s="303"/>
      <c r="C5" s="303"/>
      <c r="D5" s="303"/>
      <c r="E5" s="303"/>
      <c r="F5" s="303"/>
      <c r="G5" s="303"/>
      <c r="H5" s="340"/>
      <c r="I5" s="303"/>
      <c r="J5" s="305"/>
      <c r="K5" s="305"/>
      <c r="L5" s="305"/>
      <c r="M5" s="476" t="s">
        <v>238</v>
      </c>
      <c r="N5" s="476"/>
      <c r="O5" s="476"/>
      <c r="P5" s="476"/>
      <c r="Q5" s="304"/>
    </row>
    <row r="6" spans="1:18" ht="17" thickBot="1">
      <c r="A6" s="303"/>
      <c r="B6" s="345"/>
      <c r="C6" s="304"/>
      <c r="D6" s="304"/>
      <c r="E6" s="304"/>
      <c r="F6" s="304"/>
      <c r="G6" s="304"/>
      <c r="I6" s="483" t="s">
        <v>234</v>
      </c>
      <c r="J6" s="484"/>
      <c r="K6" s="484"/>
      <c r="L6" s="484"/>
      <c r="M6" s="481" t="s">
        <v>225</v>
      </c>
      <c r="N6" s="481"/>
      <c r="O6" s="481"/>
      <c r="P6" s="482"/>
      <c r="Q6" s="311"/>
    </row>
    <row r="7" spans="1:18" ht="20.5" customHeight="1" thickBot="1">
      <c r="A7" s="303"/>
      <c r="B7" s="346"/>
      <c r="C7" s="304"/>
      <c r="D7" s="304"/>
      <c r="E7" s="304"/>
      <c r="F7" s="304"/>
      <c r="G7" s="304"/>
      <c r="I7" s="347" t="s">
        <v>191</v>
      </c>
      <c r="J7" s="317" t="s">
        <v>190</v>
      </c>
      <c r="K7" s="317" t="s">
        <v>189</v>
      </c>
      <c r="L7" s="317" t="s">
        <v>188</v>
      </c>
      <c r="M7" s="317" t="s">
        <v>191</v>
      </c>
      <c r="N7" s="317" t="s">
        <v>190</v>
      </c>
      <c r="O7" s="317" t="s">
        <v>189</v>
      </c>
      <c r="P7" s="318" t="s">
        <v>188</v>
      </c>
      <c r="Q7" s="321" t="s">
        <v>239</v>
      </c>
      <c r="R7" s="265"/>
    </row>
    <row r="8" spans="1:18" ht="21.75" customHeight="1" thickBot="1">
      <c r="A8" s="303"/>
      <c r="B8" s="303"/>
      <c r="C8" s="304"/>
      <c r="D8" s="304"/>
      <c r="E8" s="304"/>
      <c r="F8" s="304"/>
      <c r="G8" s="304"/>
      <c r="I8" s="348">
        <v>0.5</v>
      </c>
      <c r="J8" s="349">
        <v>0.3</v>
      </c>
      <c r="K8" s="349">
        <v>0.1</v>
      </c>
      <c r="L8" s="349">
        <v>0.1</v>
      </c>
      <c r="M8" s="319">
        <v>0.45</v>
      </c>
      <c r="N8" s="319">
        <v>0.25</v>
      </c>
      <c r="O8" s="319">
        <v>0.15</v>
      </c>
      <c r="P8" s="320">
        <v>0.15</v>
      </c>
      <c r="Q8" s="312">
        <f>SUM(M8:P8)</f>
        <v>1</v>
      </c>
    </row>
    <row r="9" spans="1:18" ht="36.75" customHeight="1" thickBot="1">
      <c r="A9" s="303"/>
      <c r="B9" s="303"/>
      <c r="C9" s="304"/>
      <c r="D9" s="304"/>
      <c r="E9" s="304"/>
      <c r="F9" s="304"/>
      <c r="G9" s="304"/>
      <c r="I9" s="306"/>
      <c r="J9" s="306"/>
      <c r="K9" s="306"/>
      <c r="L9" s="306"/>
      <c r="M9" s="306"/>
      <c r="N9" s="306"/>
      <c r="O9" s="307"/>
      <c r="P9" s="304"/>
      <c r="Q9" s="331" t="s">
        <v>242</v>
      </c>
    </row>
    <row r="10" spans="1:18" ht="15" customHeight="1" thickBot="1">
      <c r="A10" s="340"/>
      <c r="B10" s="478" t="s">
        <v>229</v>
      </c>
      <c r="C10" s="479"/>
      <c r="D10" s="479"/>
      <c r="E10" s="479"/>
      <c r="F10" s="479"/>
      <c r="G10" s="480"/>
      <c r="H10" s="480"/>
      <c r="I10" s="485" t="s">
        <v>234</v>
      </c>
      <c r="J10" s="485"/>
      <c r="K10" s="485"/>
      <c r="L10" s="485"/>
      <c r="M10" s="486" t="s">
        <v>225</v>
      </c>
      <c r="N10" s="486"/>
      <c r="O10" s="486"/>
      <c r="P10" s="486"/>
      <c r="Q10" s="304"/>
    </row>
    <row r="11" spans="1:18" ht="64.5" thickBot="1">
      <c r="A11" s="350" t="s">
        <v>236</v>
      </c>
      <c r="B11" s="351" t="s">
        <v>235</v>
      </c>
      <c r="C11" s="352" t="s">
        <v>230</v>
      </c>
      <c r="D11" s="352" t="s">
        <v>231</v>
      </c>
      <c r="E11" s="352" t="s">
        <v>232</v>
      </c>
      <c r="F11" s="352" t="s">
        <v>233</v>
      </c>
      <c r="G11" s="352" t="s">
        <v>240</v>
      </c>
      <c r="H11" s="352" t="s">
        <v>241</v>
      </c>
      <c r="I11" s="353" t="s">
        <v>227</v>
      </c>
      <c r="J11" s="354" t="s">
        <v>226</v>
      </c>
      <c r="K11" s="354"/>
      <c r="L11" s="355" t="s">
        <v>210</v>
      </c>
      <c r="M11" s="313" t="s">
        <v>228</v>
      </c>
      <c r="N11" s="330" t="s">
        <v>224</v>
      </c>
      <c r="O11" s="330"/>
      <c r="P11" s="314" t="s">
        <v>210</v>
      </c>
      <c r="Q11" s="304"/>
    </row>
    <row r="12" spans="1:18" ht="16">
      <c r="A12" s="391" t="s">
        <v>114</v>
      </c>
      <c r="B12" s="357">
        <f>VLOOKUP($A12, 'Allocation Calculations'!$B$12:$G$50, 3, FALSE)</f>
        <v>2625519</v>
      </c>
      <c r="C12" s="358">
        <f>VLOOKUP($A12, OpCost[], 9, FALSE)</f>
        <v>2309813.6666666665</v>
      </c>
      <c r="D12" s="359">
        <f>VLOOKUP($A12, Ridership[],9, FALSE)</f>
        <v>156134</v>
      </c>
      <c r="E12" s="359">
        <f>VLOOKUP($A12, VRHsizing[], 9, FALSE)</f>
        <v>24486.333333333332</v>
      </c>
      <c r="F12" s="359">
        <f>VLOOKUP($A12, VRMsizing[],9, FALSE)</f>
        <v>315455.33333333331</v>
      </c>
      <c r="G12" s="360">
        <f t="shared" ref="G12:G20" si="0">IFERROR($I$8*(C12/C$21),0) + IFERROR($J$8*(D12/D$21),0) + IFERROR($K$8*(E12/E$21),0) + IFERROR($L$8*(F12/F$21),0)</f>
        <v>3.123792089047496E-2</v>
      </c>
      <c r="H12" s="360">
        <f t="shared" ref="H12:H20" si="1">IFERROR($M$8*(C12/C$21),0) + IFERROR($N$8*(D12/D$21),0) + IFERROR($O$8*(E12/E$21),0) + IFERROR($P$8*(F12/F$21),0)</f>
        <v>3.3028993233039462E-2</v>
      </c>
      <c r="I12" s="361">
        <f t="shared" ref="I12:I20" si="2">G12/SUM($G$12:$G$20)</f>
        <v>3.123792089047496E-2</v>
      </c>
      <c r="J12" s="362">
        <f>MIN(0.3*SmallUrban!B12,SmallUrban!I12*Assumptions!$D$12)</f>
        <v>494284.53932528384</v>
      </c>
      <c r="K12" s="362"/>
      <c r="L12" s="363">
        <f>I12*Assumptions!$D$12-SmallUrban!J12</f>
        <v>0</v>
      </c>
      <c r="M12" s="322">
        <f t="shared" ref="M12:M20" si="3">H12/SUM($H$12:$H$20)</f>
        <v>3.3028993233039462E-2</v>
      </c>
      <c r="N12" s="328">
        <f>MIN(0.3*B12,M12*Assumptions!$D$12)</f>
        <v>522625.07360241294</v>
      </c>
      <c r="O12" s="328"/>
      <c r="P12" s="323">
        <f>M12*Assumptions!$D$12-N12</f>
        <v>0</v>
      </c>
      <c r="Q12" s="304"/>
    </row>
    <row r="13" spans="1:18" ht="16">
      <c r="A13" s="391" t="s">
        <v>166</v>
      </c>
      <c r="B13" s="365">
        <f>VLOOKUP($A13, 'Allocation Calculations'!$B$12:$G$50, 3, FALSE)</f>
        <v>5394452</v>
      </c>
      <c r="C13" s="366">
        <f>VLOOKUP($A13, OpCost[], 9, FALSE)</f>
        <v>5076554.333333333</v>
      </c>
      <c r="D13" s="367">
        <f>VLOOKUP($A13, Ridership[],9, FALSE)</f>
        <v>314832</v>
      </c>
      <c r="E13" s="367">
        <f>VLOOKUP($A13, VRHsizing[], 9, FALSE)</f>
        <v>37864.666666666664</v>
      </c>
      <c r="F13" s="367">
        <f>VLOOKUP($A13, VRMsizing[],9, FALSE)</f>
        <v>545462.33333333337</v>
      </c>
      <c r="G13" s="360">
        <f t="shared" si="0"/>
        <v>6.2945130980239364E-2</v>
      </c>
      <c r="H13" s="368">
        <f t="shared" si="1"/>
        <v>6.4586217329887979E-2</v>
      </c>
      <c r="I13" s="361">
        <f t="shared" si="2"/>
        <v>6.2945130980239364E-2</v>
      </c>
      <c r="J13" s="362">
        <f>MIN(0.3*SmallUrban!B13,SmallUrban!I13*Assumptions!$D$12)</f>
        <v>995994.74556657055</v>
      </c>
      <c r="K13" s="362"/>
      <c r="L13" s="363">
        <f>I13*Assumptions!$D$12-SmallUrban!J13</f>
        <v>0</v>
      </c>
      <c r="M13" s="324">
        <f t="shared" si="3"/>
        <v>6.4586217329887979E-2</v>
      </c>
      <c r="N13" s="328">
        <f>MIN(0.3*B13,M13*Assumptions!$D$12)</f>
        <v>1021962.0182660932</v>
      </c>
      <c r="O13" s="328"/>
      <c r="P13" s="325">
        <f>M13*Assumptions!$D$12-N13</f>
        <v>0</v>
      </c>
      <c r="Q13" s="304"/>
    </row>
    <row r="14" spans="1:18" ht="16">
      <c r="A14" s="391" t="s">
        <v>76</v>
      </c>
      <c r="B14" s="365">
        <f>VLOOKUP($A14, 'Allocation Calculations'!$B$12:$G$50, 3, FALSE)</f>
        <v>420188</v>
      </c>
      <c r="C14" s="366">
        <f>VLOOKUP($A14, OpCost[], 9, FALSE)</f>
        <v>393516.66666666669</v>
      </c>
      <c r="D14" s="367">
        <f>VLOOKUP($A14, Ridership[],9, FALSE)</f>
        <v>43256</v>
      </c>
      <c r="E14" s="367">
        <f>VLOOKUP($A14, VRHsizing[], 9, FALSE)</f>
        <v>7689.666666666667</v>
      </c>
      <c r="F14" s="367">
        <f>VLOOKUP($A14, VRMsizing[],9, FALSE)</f>
        <v>92125.333333333328</v>
      </c>
      <c r="G14" s="360">
        <f t="shared" si="0"/>
        <v>6.9700371556686361E-3</v>
      </c>
      <c r="H14" s="368">
        <f t="shared" si="1"/>
        <v>7.7700706188270248E-3</v>
      </c>
      <c r="I14" s="361">
        <f t="shared" si="2"/>
        <v>6.9700371556686361E-3</v>
      </c>
      <c r="J14" s="362">
        <f>MIN(0.3*SmallUrban!B14,SmallUrban!I14*Assumptions!$D$12)</f>
        <v>110288.44130341227</v>
      </c>
      <c r="K14" s="362"/>
      <c r="L14" s="363">
        <f>I14*Assumptions!$D$12-SmallUrban!J14</f>
        <v>0</v>
      </c>
      <c r="M14" s="324">
        <f t="shared" si="3"/>
        <v>7.7700706188270248E-3</v>
      </c>
      <c r="N14" s="328">
        <f>MIN(0.3*B14,M14*Assumptions!$D$12)</f>
        <v>122947.54794397726</v>
      </c>
      <c r="O14" s="328"/>
      <c r="P14" s="325">
        <f>M14*Assumptions!$D$12-N14</f>
        <v>0</v>
      </c>
      <c r="Q14" s="304"/>
    </row>
    <row r="15" spans="1:18" ht="16">
      <c r="A15" s="391" t="s">
        <v>170</v>
      </c>
      <c r="B15" s="365">
        <f>VLOOKUP($A15, 'Allocation Calculations'!$B$12:$G$50, 3, FALSE)</f>
        <v>14038846</v>
      </c>
      <c r="C15" s="366">
        <f>VLOOKUP($A15, OpCost[], 9, FALSE)</f>
        <v>12956188</v>
      </c>
      <c r="D15" s="367">
        <f>VLOOKUP($A15, Ridership[],9, FALSE)</f>
        <v>4031679.6666666665</v>
      </c>
      <c r="E15" s="367">
        <f>VLOOKUP($A15, VRHsizing[], 9, FALSE)</f>
        <v>104568.96666666667</v>
      </c>
      <c r="F15" s="367">
        <f>VLOOKUP($A15, VRMsizing[],9, FALSE)</f>
        <v>1072704</v>
      </c>
      <c r="G15" s="360">
        <f t="shared" si="0"/>
        <v>0.25330674729580449</v>
      </c>
      <c r="H15" s="368">
        <f t="shared" si="1"/>
        <v>0.24002778113729195</v>
      </c>
      <c r="I15" s="361">
        <f t="shared" si="2"/>
        <v>0.25330674729580449</v>
      </c>
      <c r="J15" s="362">
        <f>MIN(0.3*SmallUrban!B15,SmallUrban!I15*Assumptions!$D$12)</f>
        <v>4008128.7526811813</v>
      </c>
      <c r="K15" s="362"/>
      <c r="L15" s="363">
        <f>I15*Assumptions!$D$12-SmallUrban!J15</f>
        <v>0</v>
      </c>
      <c r="M15" s="324">
        <f t="shared" si="3"/>
        <v>0.24002778113729195</v>
      </c>
      <c r="N15" s="328">
        <f>MIN(0.3*B15,M15*Assumptions!$D$12)</f>
        <v>3798012.7307670028</v>
      </c>
      <c r="O15" s="328"/>
      <c r="P15" s="325">
        <f>M15*Assumptions!$D$12-N15</f>
        <v>0</v>
      </c>
      <c r="Q15" s="304"/>
    </row>
    <row r="16" spans="1:18" ht="16">
      <c r="A16" s="391" t="s">
        <v>81</v>
      </c>
      <c r="B16" s="365">
        <f>VLOOKUP($A16, 'Allocation Calculations'!$B$12:$G$50, 3, FALSE)</f>
        <v>19397700</v>
      </c>
      <c r="C16" s="366">
        <f>VLOOKUP($A16, OpCost[], 9, FALSE)</f>
        <v>16210713.666666666</v>
      </c>
      <c r="D16" s="367">
        <f>VLOOKUP($A16, Ridership[],9, FALSE)</f>
        <v>1424552.3333333333</v>
      </c>
      <c r="E16" s="367">
        <f>VLOOKUP($A16, VRHsizing[], 9, FALSE)</f>
        <v>128567</v>
      </c>
      <c r="F16" s="367">
        <f>VLOOKUP($A16, VRMsizing[],9, FALSE)</f>
        <v>1413062.6666666667</v>
      </c>
      <c r="G16" s="360">
        <f t="shared" si="0"/>
        <v>0.21021261581407924</v>
      </c>
      <c r="H16" s="368">
        <f t="shared" si="1"/>
        <v>0.21177469143683098</v>
      </c>
      <c r="I16" s="361">
        <f t="shared" si="2"/>
        <v>0.21021261581407924</v>
      </c>
      <c r="J16" s="362">
        <f>MIN(0.3*SmallUrban!B16,SmallUrban!I16*Assumptions!$D$12)</f>
        <v>3326240.7678261204</v>
      </c>
      <c r="K16" s="362"/>
      <c r="L16" s="363">
        <f>I16*Assumptions!$D$12-SmallUrban!J16</f>
        <v>0</v>
      </c>
      <c r="M16" s="324">
        <f t="shared" si="3"/>
        <v>0.21177469143683098</v>
      </c>
      <c r="N16" s="328">
        <f>MIN(0.3*B16,M16*Assumptions!$D$12)</f>
        <v>3350957.8362984504</v>
      </c>
      <c r="O16" s="328"/>
      <c r="P16" s="325">
        <f>M16*Assumptions!$D$12-N16</f>
        <v>0</v>
      </c>
      <c r="Q16" s="304"/>
    </row>
    <row r="17" spans="1:17" ht="16">
      <c r="A17" s="391" t="s">
        <v>113</v>
      </c>
      <c r="B17" s="365">
        <f>VLOOKUP($A17, 'Allocation Calculations'!$B$12:$G$50, 3, FALSE)</f>
        <v>7574503</v>
      </c>
      <c r="C17" s="366">
        <f>VLOOKUP($A17, OpCost[], 9, FALSE)</f>
        <v>7196254.333333333</v>
      </c>
      <c r="D17" s="367">
        <f>VLOOKUP($A17, Ridership[],9, FALSE)</f>
        <v>1785739</v>
      </c>
      <c r="E17" s="367">
        <f>VLOOKUP($A17, VRHsizing[], 9, FALSE)</f>
        <v>75632.666666666672</v>
      </c>
      <c r="F17" s="367">
        <f>VLOOKUP($A17, VRMsizing[],9, FALSE)</f>
        <v>761865.33333333337</v>
      </c>
      <c r="G17" s="360">
        <f t="shared" si="0"/>
        <v>0.13265425988842938</v>
      </c>
      <c r="H17" s="368">
        <f t="shared" si="1"/>
        <v>0.1302226893716717</v>
      </c>
      <c r="I17" s="361">
        <f t="shared" si="2"/>
        <v>0.13265425988842938</v>
      </c>
      <c r="J17" s="362">
        <f>MIN(0.3*SmallUrban!B17,SmallUrban!I17*Assumptions!$D$12)</f>
        <v>2099017.7281126934</v>
      </c>
      <c r="K17" s="362"/>
      <c r="L17" s="363">
        <f>I17*Assumptions!$D$12-SmallUrban!J17</f>
        <v>0</v>
      </c>
      <c r="M17" s="324">
        <f t="shared" si="3"/>
        <v>0.1302226893716717</v>
      </c>
      <c r="N17" s="328">
        <f>MIN(0.3*B17,M17*Assumptions!$D$12)</f>
        <v>2060542.4493985139</v>
      </c>
      <c r="O17" s="328"/>
      <c r="P17" s="325">
        <f>M17*Assumptions!$D$12-N17</f>
        <v>0</v>
      </c>
      <c r="Q17" s="304"/>
    </row>
    <row r="18" spans="1:17" ht="16">
      <c r="A18" s="391" t="s">
        <v>90</v>
      </c>
      <c r="B18" s="365">
        <f>VLOOKUP($A18, 'Allocation Calculations'!$B$12:$G$50, 3, FALSE)</f>
        <v>8890738</v>
      </c>
      <c r="C18" s="366">
        <f>VLOOKUP($A18, OpCost[], 9, FALSE)</f>
        <v>8190429.666666667</v>
      </c>
      <c r="D18" s="367">
        <f>VLOOKUP($A18, Ridership[],9, FALSE)</f>
        <v>1552360.6666666667</v>
      </c>
      <c r="E18" s="367">
        <f>VLOOKUP($A18, VRHsizing[], 9, FALSE)</f>
        <v>69706.333333333328</v>
      </c>
      <c r="F18" s="367">
        <f>VLOOKUP($A18, VRMsizing[],9, FALSE)</f>
        <v>1116432.3333333333</v>
      </c>
      <c r="G18" s="360">
        <f t="shared" si="0"/>
        <v>0.13732040359356457</v>
      </c>
      <c r="H18" s="368">
        <f t="shared" si="1"/>
        <v>0.13721048318562776</v>
      </c>
      <c r="I18" s="361">
        <f t="shared" si="2"/>
        <v>0.13732040359356457</v>
      </c>
      <c r="J18" s="362">
        <f>MIN(0.3*SmallUrban!B18,SmallUrban!I18*Assumptions!$D$12)</f>
        <v>2172851.1531925802</v>
      </c>
      <c r="K18" s="362"/>
      <c r="L18" s="363">
        <f>I18*Assumptions!$D$12-SmallUrban!J18</f>
        <v>0</v>
      </c>
      <c r="M18" s="324">
        <f t="shared" si="3"/>
        <v>0.13721048318562776</v>
      </c>
      <c r="N18" s="328">
        <f>MIN(0.3*B18,M18*Assumptions!$D$12)</f>
        <v>2171111.8582379003</v>
      </c>
      <c r="O18" s="328"/>
      <c r="P18" s="325">
        <f>M18*Assumptions!$D$12-N18</f>
        <v>0</v>
      </c>
      <c r="Q18" s="304"/>
    </row>
    <row r="19" spans="1:17" ht="16">
      <c r="A19" s="391" t="s">
        <v>94</v>
      </c>
      <c r="B19" s="365">
        <f>VLOOKUP($A19, 'Allocation Calculations'!$B$12:$G$50, 3, FALSE)</f>
        <v>9104264</v>
      </c>
      <c r="C19" s="366">
        <f>VLOOKUP($A19, OpCost[], 9, FALSE)</f>
        <v>8927461</v>
      </c>
      <c r="D19" s="367">
        <f>VLOOKUP($A19, Ridership[],9, FALSE)</f>
        <v>603028</v>
      </c>
      <c r="E19" s="367">
        <f>VLOOKUP($A19, VRHsizing[], 9, FALSE)</f>
        <v>80782.08666666667</v>
      </c>
      <c r="F19" s="367">
        <f>VLOOKUP($A19, VRMsizing[],9, FALSE)</f>
        <v>1163824.99</v>
      </c>
      <c r="G19" s="360">
        <f t="shared" si="0"/>
        <v>0.11750530927570602</v>
      </c>
      <c r="H19" s="368">
        <f t="shared" si="1"/>
        <v>0.12282152758803862</v>
      </c>
      <c r="I19" s="361">
        <f t="shared" si="2"/>
        <v>0.11750530927570602</v>
      </c>
      <c r="J19" s="362">
        <f>MIN(0.3*SmallUrban!B19,SmallUrban!I19*Assumptions!$D$12)</f>
        <v>1859312.5281051395</v>
      </c>
      <c r="K19" s="362"/>
      <c r="L19" s="363">
        <f>I19*Assumptions!$D$12-SmallUrban!J19</f>
        <v>0</v>
      </c>
      <c r="M19" s="324">
        <f t="shared" si="3"/>
        <v>0.12282152758803862</v>
      </c>
      <c r="N19" s="328">
        <f>MIN(0.3*B19,M19*Assumptions!$D$12)</f>
        <v>1943432.2276420316</v>
      </c>
      <c r="O19" s="328"/>
      <c r="P19" s="325">
        <f>M19*Assumptions!$D$12-N19</f>
        <v>0</v>
      </c>
      <c r="Q19" s="304"/>
    </row>
    <row r="20" spans="1:17" ht="16.5" thickBot="1">
      <c r="A20" s="369" t="s">
        <v>112</v>
      </c>
      <c r="B20" s="370">
        <f>VLOOKUP($A20, 'Allocation Calculations'!$B$12:$G$50, 3, FALSE)</f>
        <v>3322249</v>
      </c>
      <c r="C20" s="371">
        <f>VLOOKUP($A20, OpCost[], 9, FALSE)</f>
        <v>3245459.3333333335</v>
      </c>
      <c r="D20" s="372">
        <f>VLOOKUP($A20, Ridership[],9, FALSE)</f>
        <v>208481</v>
      </c>
      <c r="E20" s="372">
        <f>VLOOKUP($A20, VRHsizing[], 9, FALSE)</f>
        <v>36986.543333333335</v>
      </c>
      <c r="F20" s="372">
        <f>VLOOKUP($A20, VRMsizing[],9, FALSE)</f>
        <v>718487.31333333335</v>
      </c>
      <c r="G20" s="360">
        <f t="shared" si="0"/>
        <v>4.7847575106033317E-2</v>
      </c>
      <c r="H20" s="373">
        <f t="shared" si="1"/>
        <v>5.2557546098784547E-2</v>
      </c>
      <c r="I20" s="374">
        <f t="shared" si="2"/>
        <v>4.7847575106033317E-2</v>
      </c>
      <c r="J20" s="362">
        <f>MIN(0.3*SmallUrban!B20,SmallUrban!I20*Assumptions!$D$12)</f>
        <v>757102.77588701597</v>
      </c>
      <c r="K20" s="362"/>
      <c r="L20" s="392">
        <f>I20*Assumptions!$D$12-SmallUrban!J20</f>
        <v>0</v>
      </c>
      <c r="M20" s="326">
        <f t="shared" si="3"/>
        <v>5.2557546098784547E-2</v>
      </c>
      <c r="N20" s="334">
        <f>MIN(0.3*B20,M20*Assumptions!$D$12)</f>
        <v>831629.68984361552</v>
      </c>
      <c r="O20" s="334"/>
      <c r="P20" s="335">
        <f>M20*Assumptions!$D$12-N20</f>
        <v>0</v>
      </c>
      <c r="Q20" s="304"/>
    </row>
    <row r="21" spans="1:17" ht="16.5" thickBot="1">
      <c r="A21" s="376" t="s">
        <v>204</v>
      </c>
      <c r="B21" s="377" t="s">
        <v>134</v>
      </c>
      <c r="C21" s="378">
        <f t="shared" ref="C21:J21" si="4">SUM(C12:C20)</f>
        <v>64506390.666666672</v>
      </c>
      <c r="D21" s="379">
        <f t="shared" si="4"/>
        <v>10120062.666666666</v>
      </c>
      <c r="E21" s="379">
        <f t="shared" si="4"/>
        <v>566284.26333333331</v>
      </c>
      <c r="F21" s="379">
        <f t="shared" si="4"/>
        <v>7199419.6366666667</v>
      </c>
      <c r="G21" s="380">
        <f t="shared" si="4"/>
        <v>1</v>
      </c>
      <c r="H21" s="380">
        <f t="shared" si="4"/>
        <v>1</v>
      </c>
      <c r="I21" s="381">
        <f t="shared" si="4"/>
        <v>1</v>
      </c>
      <c r="J21" s="382">
        <f t="shared" si="4"/>
        <v>15823221.431999998</v>
      </c>
      <c r="K21" s="382"/>
      <c r="L21" s="393">
        <f>SUM(L12:L20)</f>
        <v>0</v>
      </c>
      <c r="M21" s="315">
        <f>SUM(M12:M20)</f>
        <v>1</v>
      </c>
      <c r="N21" s="333">
        <f>SUM(N12:N20)</f>
        <v>15823221.431999998</v>
      </c>
      <c r="O21" s="333"/>
      <c r="P21" s="316">
        <f>SUM(P12:P20)</f>
        <v>0</v>
      </c>
      <c r="Q21" s="304"/>
    </row>
    <row r="22" spans="1:17" ht="16.5" thickBot="1">
      <c r="A22" s="303"/>
      <c r="B22" s="303"/>
      <c r="C22" s="384"/>
      <c r="D22" s="385"/>
      <c r="E22" s="385"/>
      <c r="F22" s="385"/>
      <c r="G22" s="385"/>
      <c r="H22" s="386"/>
      <c r="I22" s="387"/>
      <c r="J22" s="388"/>
      <c r="K22" s="388"/>
      <c r="L22" s="388"/>
      <c r="M22" s="308"/>
      <c r="N22" s="309"/>
      <c r="O22" s="304"/>
      <c r="P22" s="310"/>
      <c r="Q22" s="304"/>
    </row>
    <row r="23" spans="1:17" ht="16">
      <c r="A23" s="389" t="s">
        <v>187</v>
      </c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4"/>
      <c r="P23" s="304"/>
      <c r="Q23" s="304"/>
    </row>
    <row r="24" spans="1:17" ht="16">
      <c r="A24" s="390" t="s">
        <v>218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4"/>
      <c r="P24" s="304"/>
      <c r="Q24" s="304"/>
    </row>
    <row r="25" spans="1:17" ht="16">
      <c r="A25" s="390" t="s">
        <v>186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4"/>
      <c r="P25" s="304"/>
      <c r="Q25" s="304"/>
    </row>
    <row r="26" spans="1:17" ht="16">
      <c r="A26" s="390" t="s">
        <v>193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4"/>
      <c r="P26" s="304"/>
      <c r="Q26" s="304"/>
    </row>
    <row r="35" spans="3:3">
      <c r="C35" s="237"/>
    </row>
  </sheetData>
  <sheetProtection algorithmName="SHA-512" hashValue="ihHXqUhT4wAtLEAWCuRl3L/ICOeYrVhhRoboa4xHJqBOpA/T4lOvf/w0jrmcR/jN0cMyDTyHhANSn9Gtcb/1og==" saltValue="SNi8bcdEoBq3K17wIBTXgA==" spinCount="100000" sheet="1" objects="1" scenarios="1"/>
  <mergeCells count="7">
    <mergeCell ref="M1:P1"/>
    <mergeCell ref="M5:P5"/>
    <mergeCell ref="I6:L6"/>
    <mergeCell ref="M6:P6"/>
    <mergeCell ref="B10:H10"/>
    <mergeCell ref="I10:L10"/>
    <mergeCell ref="M10:P10"/>
  </mergeCells>
  <conditionalFormatting sqref="Q8">
    <cfRule type="cellIs" dxfId="29" priority="2" operator="notEqual">
      <formula>1</formula>
    </cfRule>
  </conditionalFormatting>
  <conditionalFormatting sqref="Q9">
    <cfRule type="expression" dxfId="28" priority="1">
      <formula>$Q$8&lt;&gt; 100%</formula>
    </cfRule>
  </conditionalFormatting>
  <conditionalFormatting sqref="R7">
    <cfRule type="expression" dxfId="27" priority="3">
      <formula>$Q$8&lt;&gt; 100%</formula>
    </cfRule>
  </conditionalFormatting>
  <pageMargins left="0.2" right="0.2" top="0.75" bottom="0.75" header="0.3" footer="0.3"/>
  <pageSetup scale="67" orientation="landscape" r:id="rId1"/>
  <ignoredErrors>
    <ignoredError sqref="Q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601EB-F6E8-430D-BE27-FD71D40DBEF0}">
  <sheetPr>
    <tabColor rgb="FF7030A0"/>
    <pageSetUpPr fitToPage="1"/>
  </sheetPr>
  <dimension ref="A1:R46"/>
  <sheetViews>
    <sheetView zoomScaleNormal="100" workbookViewId="0"/>
  </sheetViews>
  <sheetFormatPr defaultRowHeight="12.5"/>
  <cols>
    <col min="1" max="1" width="36.26953125" customWidth="1"/>
    <col min="2" max="2" width="14.54296875" customWidth="1"/>
    <col min="3" max="3" width="13.81640625" customWidth="1"/>
    <col min="4" max="6" width="12.81640625" customWidth="1"/>
    <col min="7" max="7" width="12.81640625" hidden="1" customWidth="1"/>
    <col min="8" max="8" width="13.54296875" hidden="1" customWidth="1"/>
    <col min="9" max="16" width="15.26953125" customWidth="1"/>
    <col min="17" max="17" width="14.54296875" customWidth="1"/>
  </cols>
  <sheetData>
    <row r="1" spans="1:18" ht="14.25" customHeight="1">
      <c r="A1" s="303" t="s">
        <v>207</v>
      </c>
      <c r="B1" s="303"/>
      <c r="C1" s="303"/>
      <c r="D1" s="303"/>
      <c r="E1" s="303"/>
      <c r="F1" s="303"/>
      <c r="G1" s="303"/>
      <c r="H1" s="340"/>
      <c r="I1" s="303"/>
      <c r="J1" s="305"/>
      <c r="K1" s="305"/>
      <c r="L1" s="305"/>
      <c r="M1" s="477" t="s">
        <v>217</v>
      </c>
      <c r="N1" s="477"/>
      <c r="O1" s="477"/>
      <c r="P1" s="477"/>
      <c r="Q1" s="305"/>
    </row>
    <row r="2" spans="1:18" ht="21">
      <c r="A2" s="341" t="s">
        <v>237</v>
      </c>
      <c r="B2" s="303"/>
      <c r="C2" s="303"/>
      <c r="D2" s="303"/>
      <c r="E2" s="303"/>
      <c r="F2" s="303"/>
      <c r="G2" s="303"/>
      <c r="H2" s="340"/>
      <c r="I2" s="303"/>
      <c r="J2" s="305"/>
      <c r="K2" s="305"/>
      <c r="L2" s="305"/>
      <c r="M2" s="305"/>
      <c r="N2" s="305"/>
      <c r="O2" s="305"/>
      <c r="P2" s="305"/>
      <c r="Q2" s="304"/>
    </row>
    <row r="3" spans="1:18" ht="14.25" customHeight="1">
      <c r="A3" s="342" t="s">
        <v>206</v>
      </c>
      <c r="B3" s="303"/>
      <c r="C3" s="303"/>
      <c r="D3" s="303"/>
      <c r="E3" s="303"/>
      <c r="F3" s="303"/>
      <c r="G3" s="303"/>
      <c r="H3" s="340"/>
      <c r="I3" s="303"/>
      <c r="J3" s="305"/>
      <c r="K3" s="305"/>
      <c r="L3" s="305"/>
      <c r="M3" s="305"/>
      <c r="N3" s="305"/>
      <c r="O3" s="304"/>
      <c r="P3" s="304"/>
      <c r="Q3" s="304"/>
    </row>
    <row r="4" spans="1:18" ht="14.25" customHeight="1">
      <c r="A4" s="343">
        <f ca="1">TODAY()</f>
        <v>46148</v>
      </c>
      <c r="B4" s="303"/>
      <c r="C4" s="303"/>
      <c r="D4" s="303"/>
      <c r="E4" s="303"/>
      <c r="F4" s="303"/>
      <c r="G4" s="303"/>
      <c r="H4" s="340"/>
      <c r="I4" s="303"/>
      <c r="J4" s="305"/>
      <c r="K4" s="305"/>
      <c r="L4" s="305"/>
      <c r="M4" s="305"/>
      <c r="N4" s="305"/>
      <c r="O4" s="304"/>
      <c r="P4" s="304"/>
      <c r="Q4" s="304"/>
    </row>
    <row r="5" spans="1:18" ht="35.25" customHeight="1" thickBot="1">
      <c r="A5" s="344"/>
      <c r="B5" s="303"/>
      <c r="C5" s="303"/>
      <c r="D5" s="303"/>
      <c r="E5" s="303"/>
      <c r="F5" s="303"/>
      <c r="G5" s="303"/>
      <c r="H5" s="340"/>
      <c r="I5" s="303"/>
      <c r="J5" s="305"/>
      <c r="K5" s="305"/>
      <c r="L5" s="305"/>
      <c r="M5" s="476" t="s">
        <v>238</v>
      </c>
      <c r="N5" s="476"/>
      <c r="O5" s="476"/>
      <c r="P5" s="476"/>
      <c r="Q5" s="304"/>
    </row>
    <row r="6" spans="1:18" ht="17" thickBot="1">
      <c r="A6" s="303"/>
      <c r="B6" s="345"/>
      <c r="C6" s="304"/>
      <c r="D6" s="304"/>
      <c r="E6" s="304"/>
      <c r="F6" s="304"/>
      <c r="G6" s="304"/>
      <c r="I6" s="483" t="s">
        <v>234</v>
      </c>
      <c r="J6" s="484"/>
      <c r="K6" s="484"/>
      <c r="L6" s="484"/>
      <c r="M6" s="481" t="s">
        <v>225</v>
      </c>
      <c r="N6" s="481"/>
      <c r="O6" s="481"/>
      <c r="P6" s="482"/>
      <c r="Q6" s="311"/>
    </row>
    <row r="7" spans="1:18" ht="20.5" customHeight="1" thickBot="1">
      <c r="A7" s="303"/>
      <c r="B7" s="346"/>
      <c r="C7" s="304"/>
      <c r="D7" s="304"/>
      <c r="E7" s="304"/>
      <c r="F7" s="304"/>
      <c r="G7" s="304"/>
      <c r="I7" s="347" t="s">
        <v>191</v>
      </c>
      <c r="J7" s="317" t="s">
        <v>190</v>
      </c>
      <c r="K7" s="317" t="s">
        <v>189</v>
      </c>
      <c r="L7" s="317" t="s">
        <v>188</v>
      </c>
      <c r="M7" s="317" t="s">
        <v>191</v>
      </c>
      <c r="N7" s="317" t="s">
        <v>190</v>
      </c>
      <c r="O7" s="317" t="s">
        <v>189</v>
      </c>
      <c r="P7" s="318" t="s">
        <v>188</v>
      </c>
      <c r="Q7" s="321" t="s">
        <v>239</v>
      </c>
      <c r="R7" s="265"/>
    </row>
    <row r="8" spans="1:18" ht="21.75" customHeight="1" thickBot="1">
      <c r="A8" s="303"/>
      <c r="B8" s="303"/>
      <c r="C8" s="304"/>
      <c r="D8" s="304"/>
      <c r="E8" s="304"/>
      <c r="F8" s="304"/>
      <c r="G8" s="304"/>
      <c r="I8" s="348">
        <v>0.5</v>
      </c>
      <c r="J8" s="349">
        <v>0.3</v>
      </c>
      <c r="K8" s="349">
        <v>0.1</v>
      </c>
      <c r="L8" s="349">
        <v>0.1</v>
      </c>
      <c r="M8" s="319">
        <v>0.5</v>
      </c>
      <c r="N8" s="319">
        <v>0.2</v>
      </c>
      <c r="O8" s="319">
        <v>0.15</v>
      </c>
      <c r="P8" s="320">
        <v>0.15</v>
      </c>
      <c r="Q8" s="312">
        <f>SUM(M8:P8)</f>
        <v>1</v>
      </c>
    </row>
    <row r="9" spans="1:18" ht="36.75" customHeight="1" thickBot="1">
      <c r="A9" s="303"/>
      <c r="B9" s="303"/>
      <c r="C9" s="304"/>
      <c r="D9" s="304"/>
      <c r="E9" s="304"/>
      <c r="F9" s="304"/>
      <c r="G9" s="304"/>
      <c r="I9" s="306"/>
      <c r="J9" s="306"/>
      <c r="K9" s="306"/>
      <c r="L9" s="306"/>
      <c r="M9" s="306"/>
      <c r="N9" s="306"/>
      <c r="O9" s="307"/>
      <c r="P9" s="304"/>
      <c r="Q9" s="331" t="s">
        <v>242</v>
      </c>
    </row>
    <row r="10" spans="1:18" ht="15" customHeight="1" thickBot="1">
      <c r="A10" s="340"/>
      <c r="B10" s="478" t="s">
        <v>229</v>
      </c>
      <c r="C10" s="479"/>
      <c r="D10" s="479"/>
      <c r="E10" s="479"/>
      <c r="F10" s="479"/>
      <c r="G10" s="480"/>
      <c r="H10" s="480"/>
      <c r="I10" s="485" t="s">
        <v>234</v>
      </c>
      <c r="J10" s="485"/>
      <c r="K10" s="485"/>
      <c r="L10" s="485"/>
      <c r="M10" s="486" t="s">
        <v>225</v>
      </c>
      <c r="N10" s="486"/>
      <c r="O10" s="486"/>
      <c r="P10" s="486"/>
      <c r="Q10" s="304"/>
    </row>
    <row r="11" spans="1:18" ht="64.5" thickBot="1">
      <c r="A11" s="350" t="s">
        <v>236</v>
      </c>
      <c r="B11" s="351" t="s">
        <v>235</v>
      </c>
      <c r="C11" s="352" t="s">
        <v>230</v>
      </c>
      <c r="D11" s="352" t="s">
        <v>231</v>
      </c>
      <c r="E11" s="352" t="s">
        <v>232</v>
      </c>
      <c r="F11" s="352" t="s">
        <v>233</v>
      </c>
      <c r="G11" s="352" t="s">
        <v>240</v>
      </c>
      <c r="H11" s="352" t="s">
        <v>241</v>
      </c>
      <c r="I11" s="353" t="s">
        <v>227</v>
      </c>
      <c r="J11" s="354" t="s">
        <v>226</v>
      </c>
      <c r="K11" s="354"/>
      <c r="L11" s="355" t="s">
        <v>210</v>
      </c>
      <c r="M11" s="313" t="s">
        <v>228</v>
      </c>
      <c r="N11" s="330" t="s">
        <v>224</v>
      </c>
      <c r="O11" s="330"/>
      <c r="P11" s="314" t="s">
        <v>210</v>
      </c>
      <c r="Q11" s="304"/>
    </row>
    <row r="12" spans="1:18" ht="16">
      <c r="A12" s="391" t="s">
        <v>89</v>
      </c>
      <c r="B12" s="357">
        <f>VLOOKUP($A12, 'Allocation Calculations'!$B$12:$G$50, 3, FALSE)</f>
        <v>83950</v>
      </c>
      <c r="C12" s="358">
        <f>VLOOKUP($A12, OpCost[], 9, FALSE)</f>
        <v>68556</v>
      </c>
      <c r="D12" s="359">
        <f>VLOOKUP($A12, Ridership[],9, FALSE)</f>
        <v>5212.333333333333</v>
      </c>
      <c r="E12" s="359">
        <f>VLOOKUP($A12, VRHsizing[], 9, FALSE)</f>
        <v>948</v>
      </c>
      <c r="F12" s="359">
        <f>VLOOKUP($A12, VRMsizing[],9, FALSE)</f>
        <v>10506.333333333334</v>
      </c>
      <c r="G12" s="360">
        <f>IFERROR($I$8*(C12/C$32),0) + IFERROR($J$8*(D12/D$32),0) + IFERROR($K$8*(E12/E$32),0) + IFERROR($L$8*(F12/F$32),0)</f>
        <v>2.1298743424348573E-3</v>
      </c>
      <c r="H12" s="360">
        <f>IFERROR($M$8*(C12/C$32),0) + IFERROR($N$8*(D12/D$32),0) + IFERROR($O$8*(E12/E$32),0) + IFERROR($P$8*(F12/F$32),0)</f>
        <v>1.9857359721513869E-3</v>
      </c>
      <c r="I12" s="361">
        <f>G12/SUM($G$12:$G$31)</f>
        <v>2.1298743424348573E-3</v>
      </c>
      <c r="J12" s="362">
        <f>MIN(0.3*Rural!B12,Rural!I12*Assumptions!$E$12)</f>
        <v>19659.19278323125</v>
      </c>
      <c r="K12" s="362"/>
      <c r="L12" s="363">
        <f>I12*Assumptions!$E$12-Rural!J12</f>
        <v>0</v>
      </c>
      <c r="M12" s="322">
        <f>H12/SUM($H$12:$H$31)</f>
        <v>1.9857359721513865E-3</v>
      </c>
      <c r="N12" s="328">
        <f>MIN(0.3*B12,M12*Assumptions!$E$12)</f>
        <v>18328.76499582285</v>
      </c>
      <c r="O12" s="328"/>
      <c r="P12" s="323">
        <f>M12*Assumptions!$E$12-N12</f>
        <v>0</v>
      </c>
      <c r="Q12" s="304"/>
    </row>
    <row r="13" spans="1:18" ht="16">
      <c r="A13" s="391" t="s">
        <v>86</v>
      </c>
      <c r="B13" s="357">
        <f>VLOOKUP($A13, 'Allocation Calculations'!$B$12:$G$50, 3, FALSE)</f>
        <v>214513</v>
      </c>
      <c r="C13" s="358">
        <f>VLOOKUP($A13, OpCost[], 9, FALSE)</f>
        <v>211869.66666666666</v>
      </c>
      <c r="D13" s="359">
        <f>VLOOKUP($A13, Ridership[],9, FALSE)</f>
        <v>11475</v>
      </c>
      <c r="E13" s="359">
        <f>VLOOKUP($A13, VRHsizing[], 9, FALSE)</f>
        <v>2986.3333333333335</v>
      </c>
      <c r="F13" s="359">
        <f>VLOOKUP($A13, VRMsizing[],9, FALSE)</f>
        <v>54121.666666666664</v>
      </c>
      <c r="G13" s="360">
        <f t="shared" ref="G13:G31" si="0">IFERROR($I$8*(C13/C$32),0) + IFERROR($J$8*(D13/D$32),0) + IFERROR($K$8*(E13/E$32),0) + IFERROR($L$8*(F13/F$32),0)</f>
        <v>6.0413570387775105E-3</v>
      </c>
      <c r="H13" s="360">
        <f t="shared" ref="H13:H31" si="1">IFERROR($M$8*(C13/C$32),0) + IFERROR($N$8*(D13/D$32),0) + IFERROR($O$8*(E13/E$32),0) + IFERROR($P$8*(F13/F$32),0)</f>
        <v>5.9978919838291258E-3</v>
      </c>
      <c r="I13" s="361">
        <f t="shared" ref="I13:I31" si="2">G13/SUM($G$12:$G$31)</f>
        <v>6.0413570387775105E-3</v>
      </c>
      <c r="J13" s="362">
        <f>MIN(0.3*Rural!B13,Rural!I13*Assumptions!$E$12)</f>
        <v>55763.009268369875</v>
      </c>
      <c r="K13" s="362"/>
      <c r="L13" s="363">
        <f>I13*Assumptions!$E$12-Rural!J13</f>
        <v>0</v>
      </c>
      <c r="M13" s="324">
        <f t="shared" ref="M13:M31" si="3">H13/SUM($H$12:$H$31)</f>
        <v>5.9978919838291241E-3</v>
      </c>
      <c r="N13" s="328">
        <f>MIN(0.3*B13,M13*Assumptions!$E$12)</f>
        <v>55361.817574785164</v>
      </c>
      <c r="O13" s="328"/>
      <c r="P13" s="323">
        <f>M13*Assumptions!$E$12-N13</f>
        <v>0</v>
      </c>
      <c r="Q13" s="304"/>
    </row>
    <row r="14" spans="1:18" ht="16">
      <c r="A14" s="391" t="s">
        <v>171</v>
      </c>
      <c r="B14" s="357">
        <f>VLOOKUP($A14, 'Allocation Calculations'!$B$12:$G$50, 3, FALSE)</f>
        <v>537911</v>
      </c>
      <c r="C14" s="358">
        <f>VLOOKUP($A14, OpCost[], 9, FALSE)</f>
        <v>619736</v>
      </c>
      <c r="D14" s="359">
        <f>VLOOKUP($A14, Ridership[],9, FALSE)</f>
        <v>28527.666666666668</v>
      </c>
      <c r="E14" s="359">
        <f>VLOOKUP($A14, VRHsizing[], 9, FALSE)</f>
        <v>15270.333333333334</v>
      </c>
      <c r="F14" s="359">
        <f>VLOOKUP($A14, VRMsizing[],9, FALSE)</f>
        <v>402387</v>
      </c>
      <c r="G14" s="360">
        <f t="shared" si="0"/>
        <v>2.0995971298963342E-2</v>
      </c>
      <c r="H14" s="360">
        <f t="shared" si="1"/>
        <v>2.3262196029637472E-2</v>
      </c>
      <c r="I14" s="361">
        <f t="shared" si="2"/>
        <v>2.0995971298963342E-2</v>
      </c>
      <c r="J14" s="362">
        <f>MIN(0.3*Rural!B14,Rural!I14*Assumptions!$E$12)</f>
        <v>161373.29999999999</v>
      </c>
      <c r="K14" s="362"/>
      <c r="L14" s="363">
        <f>I14*Assumptions!$E$12-Rural!J14</f>
        <v>32423.976775324641</v>
      </c>
      <c r="M14" s="324">
        <f t="shared" si="3"/>
        <v>2.3262196029637468E-2</v>
      </c>
      <c r="N14" s="328">
        <f>MIN(0.3*B14,M14*Assumptions!$E$12)</f>
        <v>161373.29999999999</v>
      </c>
      <c r="O14" s="328"/>
      <c r="P14" s="323">
        <f>M14*Assumptions!$E$12-N14</f>
        <v>53341.712616734556</v>
      </c>
      <c r="Q14" s="304"/>
    </row>
    <row r="15" spans="1:18" ht="16">
      <c r="A15" s="391" t="s">
        <v>168</v>
      </c>
      <c r="B15" s="357">
        <f>VLOOKUP($A15, 'Allocation Calculations'!$B$12:$G$50, 3, FALSE)</f>
        <v>705021</v>
      </c>
      <c r="C15" s="358">
        <f>VLOOKUP($A15, OpCost[], 9, FALSE)</f>
        <v>444287.66666666669</v>
      </c>
      <c r="D15" s="359">
        <f>VLOOKUP($A15, Ridership[],9, FALSE)</f>
        <v>12242</v>
      </c>
      <c r="E15" s="359">
        <f>VLOOKUP($A15, VRHsizing[], 9, FALSE)</f>
        <v>5167.333333333333</v>
      </c>
      <c r="F15" s="359">
        <f>VLOOKUP($A15, VRMsizing[],9, FALSE)</f>
        <v>59448</v>
      </c>
      <c r="G15" s="360">
        <f t="shared" si="0"/>
        <v>9.7514109702550571E-3</v>
      </c>
      <c r="H15" s="360">
        <f t="shared" si="1"/>
        <v>9.917208877207111E-3</v>
      </c>
      <c r="I15" s="361">
        <f t="shared" si="2"/>
        <v>9.7514109702550571E-3</v>
      </c>
      <c r="J15" s="362">
        <f>MIN(0.3*Rural!B15,Rural!I15*Assumptions!$E$12)</f>
        <v>90007.595449788176</v>
      </c>
      <c r="K15" s="362"/>
      <c r="L15" s="363">
        <f>I15*Assumptions!$E$12-Rural!J15</f>
        <v>0</v>
      </c>
      <c r="M15" s="324">
        <f t="shared" si="3"/>
        <v>9.9172088772071093E-3</v>
      </c>
      <c r="N15" s="328">
        <f>MIN(0.3*B15,M15*Assumptions!$E$12)</f>
        <v>91537.945363342442</v>
      </c>
      <c r="O15" s="328"/>
      <c r="P15" s="323">
        <f>M15*Assumptions!$E$12-N15</f>
        <v>0</v>
      </c>
      <c r="Q15" s="304"/>
    </row>
    <row r="16" spans="1:18" ht="16">
      <c r="A16" s="391" t="s">
        <v>93</v>
      </c>
      <c r="B16" s="357">
        <f>VLOOKUP($A16, 'Allocation Calculations'!$B$12:$G$50, 3, FALSE)</f>
        <v>749264</v>
      </c>
      <c r="C16" s="358">
        <f>VLOOKUP($A16, OpCost[], 9, FALSE)</f>
        <v>716889.33333333337</v>
      </c>
      <c r="D16" s="359">
        <f>VLOOKUP($A16, Ridership[],9, FALSE)</f>
        <v>96000.333333333328</v>
      </c>
      <c r="E16" s="359">
        <f>VLOOKUP($A16, VRHsizing[], 9, FALSE)</f>
        <v>11464.666666666666</v>
      </c>
      <c r="F16" s="359">
        <f>VLOOKUP($A16, VRMsizing[],9, FALSE)</f>
        <v>170054.66666666666</v>
      </c>
      <c r="G16" s="360">
        <f t="shared" si="0"/>
        <v>3.0522552053856435E-2</v>
      </c>
      <c r="H16" s="360">
        <f t="shared" si="1"/>
        <v>2.7118404984682629E-2</v>
      </c>
      <c r="I16" s="361">
        <f t="shared" si="2"/>
        <v>3.0522552053856435E-2</v>
      </c>
      <c r="J16" s="362">
        <f>MIN(0.3*Rural!B16,Rural!I16*Assumptions!$E$12)</f>
        <v>224779.19999999998</v>
      </c>
      <c r="K16" s="362"/>
      <c r="L16" s="363">
        <f>I16*Assumptions!$E$12-Rural!J16</f>
        <v>56950.441560451494</v>
      </c>
      <c r="M16" s="324">
        <f t="shared" si="3"/>
        <v>2.7118404984682622E-2</v>
      </c>
      <c r="N16" s="328">
        <f>MIN(0.3*B16,M16*Assumptions!$E$12)</f>
        <v>224779.19999999998</v>
      </c>
      <c r="O16" s="328"/>
      <c r="P16" s="323">
        <f>M16*Assumptions!$E$12-N16</f>
        <v>25529.44072391669</v>
      </c>
      <c r="Q16" s="304"/>
    </row>
    <row r="17" spans="1:17" ht="16">
      <c r="A17" s="391" t="s">
        <v>95</v>
      </c>
      <c r="B17" s="357">
        <f>VLOOKUP($A17, 'Allocation Calculations'!$B$12:$G$50, 3, FALSE)</f>
        <v>176795</v>
      </c>
      <c r="C17" s="358">
        <f>VLOOKUP($A17, OpCost[], 9, FALSE)</f>
        <v>173252</v>
      </c>
      <c r="D17" s="359">
        <f>VLOOKUP($A17, Ridership[],9, FALSE)</f>
        <v>15187.666666666666</v>
      </c>
      <c r="E17" s="359">
        <f>VLOOKUP($A17, VRHsizing[], 9, FALSE)</f>
        <v>3038.3333333333335</v>
      </c>
      <c r="F17" s="359">
        <f>VLOOKUP($A17, VRMsizing[],9, FALSE)</f>
        <v>50498.333333333336</v>
      </c>
      <c r="G17" s="360">
        <f t="shared" si="0"/>
        <v>6.1460455395860713E-3</v>
      </c>
      <c r="H17" s="360">
        <f t="shared" si="1"/>
        <v>5.871067121088638E-3</v>
      </c>
      <c r="I17" s="361">
        <f t="shared" si="2"/>
        <v>6.1460455395860713E-3</v>
      </c>
      <c r="J17" s="362">
        <f>MIN(0.3*Rural!B17,Rural!I17*Assumptions!$E$12)</f>
        <v>53038.5</v>
      </c>
      <c r="K17" s="362"/>
      <c r="L17" s="363">
        <f>I17*Assumptions!$E$12-Rural!J17</f>
        <v>3690.8063773486938</v>
      </c>
      <c r="M17" s="324">
        <f t="shared" si="3"/>
        <v>5.8710671210886363E-3</v>
      </c>
      <c r="N17" s="328">
        <f>MIN(0.3*B17,M17*Assumptions!$E$12)</f>
        <v>53038.5</v>
      </c>
      <c r="O17" s="328"/>
      <c r="P17" s="323">
        <f>M17*Assumptions!$E$12-N17</f>
        <v>1152.6971411534832</v>
      </c>
      <c r="Q17" s="304"/>
    </row>
    <row r="18" spans="1:17" ht="16">
      <c r="A18" s="391" t="s">
        <v>92</v>
      </c>
      <c r="B18" s="357">
        <f>VLOOKUP($A18, 'Allocation Calculations'!$B$12:$G$50, 3, FALSE)</f>
        <v>4097893</v>
      </c>
      <c r="C18" s="358">
        <f>VLOOKUP($A18, OpCost[], 9, FALSE)</f>
        <v>3948116</v>
      </c>
      <c r="D18" s="359">
        <f>VLOOKUP($A18, Ridership[],9, FALSE)</f>
        <v>245687.66666666666</v>
      </c>
      <c r="E18" s="359">
        <f>VLOOKUP($A18, VRHsizing[], 9, FALSE)</f>
        <v>32422.666666666668</v>
      </c>
      <c r="F18" s="359">
        <f>VLOOKUP($A18, VRMsizing[],9, FALSE)</f>
        <v>519734</v>
      </c>
      <c r="G18" s="360">
        <f t="shared" si="0"/>
        <v>0.10764276423690411</v>
      </c>
      <c r="H18" s="360">
        <f t="shared" si="1"/>
        <v>9.9741815768995878E-2</v>
      </c>
      <c r="I18" s="361">
        <f t="shared" si="2"/>
        <v>0.10764276423690411</v>
      </c>
      <c r="J18" s="362">
        <f>MIN(0.3*Rural!B18,Rural!I18*Assumptions!$E$12)</f>
        <v>993565.58820931078</v>
      </c>
      <c r="K18" s="362"/>
      <c r="L18" s="363">
        <f>I18*Assumptions!$E$12-Rural!J18</f>
        <v>0</v>
      </c>
      <c r="M18" s="324">
        <f t="shared" si="3"/>
        <v>9.9741815768995851E-2</v>
      </c>
      <c r="N18" s="328">
        <f>MIN(0.3*B18,M18*Assumptions!$E$12)</f>
        <v>920638.15488316631</v>
      </c>
      <c r="O18" s="328"/>
      <c r="P18" s="323">
        <f>M18*Assumptions!$E$12-N18</f>
        <v>0</v>
      </c>
      <c r="Q18" s="304"/>
    </row>
    <row r="19" spans="1:17" ht="16">
      <c r="A19" s="391" t="s">
        <v>110</v>
      </c>
      <c r="B19" s="357">
        <f>VLOOKUP($A19, 'Allocation Calculations'!$B$12:$G$50, 3, FALSE)</f>
        <v>872107</v>
      </c>
      <c r="C19" s="358">
        <f>VLOOKUP($A19, OpCost[], 9, FALSE)</f>
        <v>784319</v>
      </c>
      <c r="D19" s="359">
        <f>VLOOKUP($A19, Ridership[],9, FALSE)</f>
        <v>29100.333333333332</v>
      </c>
      <c r="E19" s="359">
        <f>VLOOKUP($A19, VRHsizing[], 9, FALSE)</f>
        <v>18654.75</v>
      </c>
      <c r="F19" s="359">
        <f>VLOOKUP($A19, VRMsizing[],9, FALSE)</f>
        <v>229834.33333333334</v>
      </c>
      <c r="G19" s="360">
        <f t="shared" si="0"/>
        <v>2.1931469439104082E-2</v>
      </c>
      <c r="H19" s="360">
        <f t="shared" si="1"/>
        <v>2.3495737019025621E-2</v>
      </c>
      <c r="I19" s="361">
        <f t="shared" si="2"/>
        <v>2.1931469439104082E-2</v>
      </c>
      <c r="J19" s="362">
        <f>MIN(0.3*Rural!B19,Rural!I19*Assumptions!$E$12)</f>
        <v>202432.12340404943</v>
      </c>
      <c r="K19" s="362"/>
      <c r="L19" s="363">
        <f>I19*Assumptions!$E$12-Rural!J19</f>
        <v>0</v>
      </c>
      <c r="M19" s="324">
        <f t="shared" si="3"/>
        <v>2.3495737019025614E-2</v>
      </c>
      <c r="N19" s="328">
        <f>MIN(0.3*B19,M19*Assumptions!$E$12)</f>
        <v>216870.64557671445</v>
      </c>
      <c r="O19" s="328"/>
      <c r="P19" s="323">
        <f>M19*Assumptions!$E$12-N19</f>
        <v>0</v>
      </c>
      <c r="Q19" s="304"/>
    </row>
    <row r="20" spans="1:17" ht="16">
      <c r="A20" s="391" t="s">
        <v>75</v>
      </c>
      <c r="B20" s="357">
        <f>VLOOKUP($A20, 'Allocation Calculations'!$B$12:$G$50, 3, FALSE)</f>
        <v>2524115</v>
      </c>
      <c r="C20" s="358">
        <f>VLOOKUP($A20, OpCost[], 9, FALSE)</f>
        <v>2525849.6666666665</v>
      </c>
      <c r="D20" s="359">
        <f>VLOOKUP($A20, Ridership[],9, FALSE)</f>
        <v>125517.33333333333</v>
      </c>
      <c r="E20" s="359">
        <f>VLOOKUP($A20, VRHsizing[], 9, FALSE)</f>
        <v>30908</v>
      </c>
      <c r="F20" s="359">
        <f>VLOOKUP($A20, VRMsizing[],9, FALSE)</f>
        <v>635485</v>
      </c>
      <c r="G20" s="360">
        <f t="shared" si="0"/>
        <v>6.8985925558075117E-2</v>
      </c>
      <c r="H20" s="360">
        <f t="shared" si="1"/>
        <v>6.8586729289850795E-2</v>
      </c>
      <c r="I20" s="361">
        <f t="shared" si="2"/>
        <v>6.8985925558075117E-2</v>
      </c>
      <c r="J20" s="362">
        <f>MIN(0.3*Rural!B20,Rural!I20*Assumptions!$E$12)</f>
        <v>636754.75254818634</v>
      </c>
      <c r="K20" s="362"/>
      <c r="L20" s="363">
        <f>I20*Assumptions!$E$12-Rural!J20</f>
        <v>0</v>
      </c>
      <c r="M20" s="324">
        <f t="shared" si="3"/>
        <v>6.8586729289850781E-2</v>
      </c>
      <c r="N20" s="328">
        <f>MIN(0.3*B20,M20*Assumptions!$E$12)</f>
        <v>633070.08616247028</v>
      </c>
      <c r="O20" s="328"/>
      <c r="P20" s="323">
        <f>M20*Assumptions!$E$12-N20</f>
        <v>0</v>
      </c>
      <c r="Q20" s="304"/>
    </row>
    <row r="21" spans="1:17" ht="16">
      <c r="A21" s="391" t="s">
        <v>78</v>
      </c>
      <c r="B21" s="357">
        <f>VLOOKUP($A21, 'Allocation Calculations'!$B$12:$G$50, 3, FALSE)</f>
        <v>2152505</v>
      </c>
      <c r="C21" s="358">
        <f>VLOOKUP($A21, OpCost[], 9, FALSE)</f>
        <v>2153544</v>
      </c>
      <c r="D21" s="359">
        <f>VLOOKUP($A21, Ridership[],9, FALSE)</f>
        <v>131075.33333333334</v>
      </c>
      <c r="E21" s="359">
        <f>VLOOKUP($A21, VRHsizing[], 9, FALSE)</f>
        <v>45104</v>
      </c>
      <c r="F21" s="359">
        <f>VLOOKUP($A21, VRMsizing[],9, FALSE)</f>
        <v>757370.66666666663</v>
      </c>
      <c r="G21" s="360">
        <f t="shared" si="0"/>
        <v>6.9366679262644393E-2</v>
      </c>
      <c r="H21" s="360">
        <f t="shared" si="1"/>
        <v>7.0809236782589824E-2</v>
      </c>
      <c r="I21" s="361">
        <f t="shared" si="2"/>
        <v>6.9366679262644393E-2</v>
      </c>
      <c r="J21" s="362">
        <f>MIN(0.3*Rural!B21,Rural!I21*Assumptions!$E$12)</f>
        <v>640269.19015228446</v>
      </c>
      <c r="K21" s="362"/>
      <c r="L21" s="363">
        <f>I21*Assumptions!$E$12-Rural!J21</f>
        <v>0</v>
      </c>
      <c r="M21" s="324">
        <f t="shared" si="3"/>
        <v>7.080923678258981E-2</v>
      </c>
      <c r="N21" s="328">
        <f>MIN(0.3*B21,M21*Assumptions!$E$12)</f>
        <v>645751.5</v>
      </c>
      <c r="O21" s="328"/>
      <c r="P21" s="323">
        <f>M21*Assumptions!$E$12-N21</f>
        <v>7832.8026077387622</v>
      </c>
      <c r="Q21" s="304"/>
    </row>
    <row r="22" spans="1:17" ht="16">
      <c r="A22" s="391" t="s">
        <v>79</v>
      </c>
      <c r="B22" s="357">
        <f>VLOOKUP($A22, 'Allocation Calculations'!$B$12:$G$50, 3, FALSE)</f>
        <v>458740</v>
      </c>
      <c r="C22" s="358">
        <f>VLOOKUP($A22, OpCost[], 9, FALSE)</f>
        <v>454151.33333333331</v>
      </c>
      <c r="D22" s="359">
        <f>VLOOKUP($A22, Ridership[],9, FALSE)</f>
        <v>32087.666666666668</v>
      </c>
      <c r="E22" s="359">
        <f>VLOOKUP($A22, VRHsizing[], 9, FALSE)</f>
        <v>8104.333333333333</v>
      </c>
      <c r="F22" s="359">
        <f>VLOOKUP($A22, VRMsizing[],9, FALSE)</f>
        <v>128274.33333333333</v>
      </c>
      <c r="G22" s="360">
        <f t="shared" si="0"/>
        <v>1.4745979301692089E-2</v>
      </c>
      <c r="H22" s="360">
        <f t="shared" si="1"/>
        <v>1.4463757333402594E-2</v>
      </c>
      <c r="I22" s="361">
        <f t="shared" si="2"/>
        <v>1.4745979301692089E-2</v>
      </c>
      <c r="J22" s="362">
        <f>MIN(0.3*Rural!B22,Rural!I22*Assumptions!$E$12)</f>
        <v>136108.52250471155</v>
      </c>
      <c r="K22" s="362"/>
      <c r="L22" s="363">
        <f>I22*Assumptions!$E$12-Rural!J22</f>
        <v>0</v>
      </c>
      <c r="M22" s="324">
        <f t="shared" si="3"/>
        <v>1.4463757333402591E-2</v>
      </c>
      <c r="N22" s="328">
        <f>MIN(0.3*B22,M22*Assumptions!$E$12)</f>
        <v>133503.55376466678</v>
      </c>
      <c r="O22" s="328"/>
      <c r="P22" s="323">
        <f>M22*Assumptions!$E$12-N22</f>
        <v>0</v>
      </c>
      <c r="Q22" s="304"/>
    </row>
    <row r="23" spans="1:17" ht="16">
      <c r="A23" s="391" t="s">
        <v>169</v>
      </c>
      <c r="B23" s="357">
        <f>VLOOKUP($A23, 'Allocation Calculations'!$B$12:$G$50, 3, FALSE)</f>
        <v>1208220</v>
      </c>
      <c r="C23" s="358">
        <f>VLOOKUP($A23, OpCost[], 9, FALSE)</f>
        <v>1258943</v>
      </c>
      <c r="D23" s="359">
        <f>VLOOKUP($A23, Ridership[],9, FALSE)</f>
        <v>64758.666666666664</v>
      </c>
      <c r="E23" s="359">
        <f>VLOOKUP($A23, VRHsizing[], 9, FALSE)</f>
        <v>18218.333333333332</v>
      </c>
      <c r="F23" s="359">
        <f>VLOOKUP($A23, VRMsizing[],9, FALSE)</f>
        <v>308693.33333333331</v>
      </c>
      <c r="G23" s="360">
        <f t="shared" si="0"/>
        <v>3.524633870183265E-2</v>
      </c>
      <c r="H23" s="360">
        <f t="shared" si="1"/>
        <v>3.515945892006659E-2</v>
      </c>
      <c r="I23" s="361">
        <f t="shared" si="2"/>
        <v>3.524633870183265E-2</v>
      </c>
      <c r="J23" s="362">
        <f>MIN(0.3*Rural!B23,Rural!I23*Assumptions!$E$12)</f>
        <v>325331.19613538217</v>
      </c>
      <c r="K23" s="362"/>
      <c r="L23" s="363">
        <f>I23*Assumptions!$E$12-Rural!J23</f>
        <v>0</v>
      </c>
      <c r="M23" s="324">
        <f t="shared" si="3"/>
        <v>3.5159458920066583E-2</v>
      </c>
      <c r="N23" s="328">
        <f>MIN(0.3*B23,M23*Assumptions!$E$12)</f>
        <v>324529.277287554</v>
      </c>
      <c r="O23" s="328"/>
      <c r="P23" s="323">
        <f>M23*Assumptions!$E$12-N23</f>
        <v>0</v>
      </c>
      <c r="Q23" s="304"/>
    </row>
    <row r="24" spans="1:17" ht="16">
      <c r="A24" s="391" t="s">
        <v>88</v>
      </c>
      <c r="B24" s="357">
        <f>VLOOKUP($A24, 'Allocation Calculations'!$B$12:$G$50, 3, FALSE)</f>
        <v>1551122</v>
      </c>
      <c r="C24" s="358">
        <f>VLOOKUP($A24, OpCost[], 9, FALSE)</f>
        <v>1381891.3333333333</v>
      </c>
      <c r="D24" s="359">
        <f>VLOOKUP($A24, Ridership[],9, FALSE)</f>
        <v>97486.333333333328</v>
      </c>
      <c r="E24" s="359">
        <f>VLOOKUP($A24, VRHsizing[], 9, FALSE)</f>
        <v>20703</v>
      </c>
      <c r="F24" s="359">
        <f>VLOOKUP($A24, VRMsizing[],9, FALSE)</f>
        <v>527830.66666666663</v>
      </c>
      <c r="G24" s="360">
        <f t="shared" si="0"/>
        <v>4.5651814615613885E-2</v>
      </c>
      <c r="H24" s="360">
        <f t="shared" si="1"/>
        <v>4.5206218365854187E-2</v>
      </c>
      <c r="I24" s="361">
        <f t="shared" si="2"/>
        <v>4.5651814615613885E-2</v>
      </c>
      <c r="J24" s="362">
        <f>MIN(0.3*Rural!B24,Rural!I24*Assumptions!$E$12)</f>
        <v>421375.9500040256</v>
      </c>
      <c r="K24" s="362"/>
      <c r="L24" s="363">
        <f>I24*Assumptions!$E$12-Rural!J24</f>
        <v>0</v>
      </c>
      <c r="M24" s="324">
        <f t="shared" si="3"/>
        <v>4.520621836585418E-2</v>
      </c>
      <c r="N24" s="328">
        <f>MIN(0.3*B24,M24*Assumptions!$E$12)</f>
        <v>417263.00192864926</v>
      </c>
      <c r="O24" s="328"/>
      <c r="P24" s="323">
        <f>M24*Assumptions!$E$12-N24</f>
        <v>0</v>
      </c>
      <c r="Q24" s="304"/>
    </row>
    <row r="25" spans="1:17" ht="16">
      <c r="A25" s="391" t="s">
        <v>172</v>
      </c>
      <c r="B25" s="357">
        <f>VLOOKUP($A25, 'Allocation Calculations'!$B$12:$G$50, 3, FALSE)</f>
        <v>5119725</v>
      </c>
      <c r="C25" s="358">
        <f>VLOOKUP($A25, OpCost[], 9, FALSE)</f>
        <v>4891607.333333333</v>
      </c>
      <c r="D25" s="359">
        <f>VLOOKUP($A25, Ridership[],9, FALSE)</f>
        <v>192022.66666666666</v>
      </c>
      <c r="E25" s="359">
        <f>VLOOKUP($A25, VRHsizing[], 9, FALSE)</f>
        <v>64066.35</v>
      </c>
      <c r="F25" s="359">
        <f>VLOOKUP($A25, VRMsizing[],9, FALSE)</f>
        <v>987813.33333333337</v>
      </c>
      <c r="G25" s="360">
        <f t="shared" si="0"/>
        <v>0.12271205027821872</v>
      </c>
      <c r="H25" s="360">
        <f t="shared" si="1"/>
        <v>0.12390505910049197</v>
      </c>
      <c r="I25" s="361">
        <f t="shared" si="2"/>
        <v>0.12271205027821872</v>
      </c>
      <c r="J25" s="362">
        <f>MIN(0.3*Rural!B25,Rural!I25*Assumptions!$E$12)</f>
        <v>1132658.300624067</v>
      </c>
      <c r="K25" s="362"/>
      <c r="L25" s="363">
        <f>I25*Assumptions!$E$12-Rural!J25</f>
        <v>0</v>
      </c>
      <c r="M25" s="324">
        <f t="shared" si="3"/>
        <v>0.12390505910049195</v>
      </c>
      <c r="N25" s="328">
        <f>MIN(0.3*B25,M25*Assumptions!$E$12)</f>
        <v>1143670.0255704096</v>
      </c>
      <c r="O25" s="328"/>
      <c r="P25" s="323">
        <f>M25*Assumptions!$E$12-N25</f>
        <v>0</v>
      </c>
      <c r="Q25" s="304"/>
    </row>
    <row r="26" spans="1:17" ht="16">
      <c r="A26" s="391" t="s">
        <v>167</v>
      </c>
      <c r="B26" s="357">
        <f>VLOOKUP($A26, 'Allocation Calculations'!$B$12:$G$50, 3, FALSE)</f>
        <v>5142066</v>
      </c>
      <c r="C26" s="358">
        <f>VLOOKUP($A26, OpCost[], 9, FALSE)</f>
        <v>4839038</v>
      </c>
      <c r="D26" s="359">
        <f>VLOOKUP($A26, Ridership[],9, FALSE)</f>
        <v>128704</v>
      </c>
      <c r="E26" s="359">
        <f>VLOOKUP($A26, VRHsizing[], 9, FALSE)</f>
        <v>46178.798888099998</v>
      </c>
      <c r="F26" s="359">
        <f>VLOOKUP($A26, VRMsizing[],9, FALSE)</f>
        <v>912860.00699999987</v>
      </c>
      <c r="G26" s="360">
        <f t="shared" si="0"/>
        <v>0.10646025346807089</v>
      </c>
      <c r="H26" s="360">
        <f t="shared" si="1"/>
        <v>0.10906381130991437</v>
      </c>
      <c r="I26" s="361">
        <f t="shared" si="2"/>
        <v>0.10646025346807089</v>
      </c>
      <c r="J26" s="362">
        <f>MIN(0.3*Rural!B26,Rural!I26*Assumptions!$E$12)</f>
        <v>982650.76252707688</v>
      </c>
      <c r="K26" s="362"/>
      <c r="L26" s="363">
        <f>I26*Assumptions!$E$12-Rural!J26</f>
        <v>0</v>
      </c>
      <c r="M26" s="324">
        <f t="shared" si="3"/>
        <v>0.10906381130991434</v>
      </c>
      <c r="N26" s="328">
        <f>MIN(0.3*B26,M26*Assumptions!$E$12)</f>
        <v>1006682.1546685403</v>
      </c>
      <c r="O26" s="328"/>
      <c r="P26" s="323">
        <f>M26*Assumptions!$E$12-N26</f>
        <v>0</v>
      </c>
      <c r="Q26" s="304"/>
    </row>
    <row r="27" spans="1:17" ht="16">
      <c r="A27" s="391" t="s">
        <v>85</v>
      </c>
      <c r="B27" s="357">
        <f>VLOOKUP($A27, 'Allocation Calculations'!$B$12:$G$50, 3, FALSE)</f>
        <v>2252994</v>
      </c>
      <c r="C27" s="358">
        <f>VLOOKUP($A27, OpCost[], 9, FALSE)</f>
        <v>2116702.3333333335</v>
      </c>
      <c r="D27" s="359">
        <f>VLOOKUP($A27, Ridership[],9, FALSE)</f>
        <v>80862</v>
      </c>
      <c r="E27" s="359">
        <f>VLOOKUP($A27, VRHsizing[], 9, FALSE)</f>
        <v>23891.600000000002</v>
      </c>
      <c r="F27" s="359">
        <f>VLOOKUP($A27, VRMsizing[],9, FALSE)</f>
        <v>458726.66666666669</v>
      </c>
      <c r="G27" s="360">
        <f t="shared" si="0"/>
        <v>5.2297624549013808E-2</v>
      </c>
      <c r="H27" s="360">
        <f t="shared" si="1"/>
        <v>5.2736301558631626E-2</v>
      </c>
      <c r="I27" s="361">
        <f t="shared" si="2"/>
        <v>5.2297624549013808E-2</v>
      </c>
      <c r="J27" s="362">
        <f>MIN(0.3*Rural!B27,Rural!I27*Assumptions!$E$12)</f>
        <v>482718.18793720938</v>
      </c>
      <c r="K27" s="362"/>
      <c r="L27" s="363">
        <f>I27*Assumptions!$E$12-Rural!J27</f>
        <v>0</v>
      </c>
      <c r="M27" s="324">
        <f t="shared" si="3"/>
        <v>5.2736301558631613E-2</v>
      </c>
      <c r="N27" s="328">
        <f>MIN(0.3*B27,M27*Assumptions!$E$12)</f>
        <v>486767.2699557236</v>
      </c>
      <c r="O27" s="328"/>
      <c r="P27" s="323">
        <f>M27*Assumptions!$E$12-N27</f>
        <v>0</v>
      </c>
      <c r="Q27" s="304"/>
    </row>
    <row r="28" spans="1:17" ht="16">
      <c r="A28" s="391" t="s">
        <v>108</v>
      </c>
      <c r="B28" s="357">
        <f>VLOOKUP($A28, 'Allocation Calculations'!$B$12:$G$50, 3, FALSE)</f>
        <v>2810399</v>
      </c>
      <c r="C28" s="358">
        <f>VLOOKUP($A28, OpCost[], 9, FALSE)</f>
        <v>2755458.6666666665</v>
      </c>
      <c r="D28" s="359">
        <f>VLOOKUP($A28, Ridership[],9, FALSE)</f>
        <v>117106.33333333333</v>
      </c>
      <c r="E28" s="359">
        <f>VLOOKUP($A28, VRHsizing[], 9, FALSE)</f>
        <v>34762.243333333332</v>
      </c>
      <c r="F28" s="359">
        <f>VLOOKUP($A28, VRMsizing[],9, FALSE)</f>
        <v>414000.59666666668</v>
      </c>
      <c r="G28" s="360">
        <f t="shared" si="0"/>
        <v>6.873627665777679E-2</v>
      </c>
      <c r="H28" s="360">
        <f t="shared" si="1"/>
        <v>6.7917031806216499E-2</v>
      </c>
      <c r="I28" s="361">
        <f t="shared" si="2"/>
        <v>6.873627665777679E-2</v>
      </c>
      <c r="J28" s="362">
        <f>MIN(0.3*Rural!B28,Rural!I28*Assumptions!$E$12)</f>
        <v>634450.44014754216</v>
      </c>
      <c r="K28" s="362"/>
      <c r="L28" s="363">
        <f>I28*Assumptions!$E$12-Rural!J28</f>
        <v>0</v>
      </c>
      <c r="M28" s="324">
        <f t="shared" si="3"/>
        <v>6.7917031806216485E-2</v>
      </c>
      <c r="N28" s="328">
        <f>MIN(0.3*B28,M28*Assumptions!$E$12)</f>
        <v>626888.63607647107</v>
      </c>
      <c r="O28" s="328"/>
      <c r="P28" s="323">
        <f>M28*Assumptions!$E$12-N28</f>
        <v>0</v>
      </c>
      <c r="Q28" s="304"/>
    </row>
    <row r="29" spans="1:17" ht="16">
      <c r="A29" s="391" t="s">
        <v>116</v>
      </c>
      <c r="B29" s="357">
        <f>VLOOKUP($A29, 'Allocation Calculations'!$B$12:$G$50, 3, FALSE)</f>
        <v>5545950</v>
      </c>
      <c r="C29" s="358">
        <f>VLOOKUP($A29, OpCost[], 9, FALSE)</f>
        <v>5450209</v>
      </c>
      <c r="D29" s="359">
        <f>VLOOKUP($A29, Ridership[],9, FALSE)</f>
        <v>129931.33333333333</v>
      </c>
      <c r="E29" s="359">
        <f>VLOOKUP($A29, VRHsizing[], 9, FALSE)</f>
        <v>61037.236666666664</v>
      </c>
      <c r="F29" s="359">
        <f>VLOOKUP($A29, VRMsizing[],9, FALSE)</f>
        <v>1367359.3333333333</v>
      </c>
      <c r="G29" s="360">
        <f t="shared" si="0"/>
        <v>0.1231170596160243</v>
      </c>
      <c r="H29" s="360">
        <f t="shared" si="1"/>
        <v>0.12983587849242731</v>
      </c>
      <c r="I29" s="361">
        <f t="shared" si="2"/>
        <v>0.1231170596160243</v>
      </c>
      <c r="J29" s="362">
        <f>MIN(0.3*Rural!B29,Rural!I29*Assumptions!$E$12)</f>
        <v>1136396.6228773068</v>
      </c>
      <c r="K29" s="362"/>
      <c r="L29" s="363">
        <f>I29*Assumptions!$E$12-Rural!J29</f>
        <v>0</v>
      </c>
      <c r="M29" s="324">
        <f t="shared" si="3"/>
        <v>0.12983587849242728</v>
      </c>
      <c r="N29" s="328">
        <f>MIN(0.3*B29,M29*Assumptions!$E$12)</f>
        <v>1198412.7488689553</v>
      </c>
      <c r="O29" s="328"/>
      <c r="P29" s="323">
        <f>M29*Assumptions!$E$12-N29</f>
        <v>0</v>
      </c>
      <c r="Q29" s="304"/>
    </row>
    <row r="30" spans="1:17" ht="16">
      <c r="A30" s="391" t="s">
        <v>173</v>
      </c>
      <c r="B30" s="357">
        <f>VLOOKUP($A30, 'Allocation Calculations'!$B$12:$G$50, 3, FALSE)</f>
        <v>174101</v>
      </c>
      <c r="C30" s="358">
        <f>VLOOKUP($A30, OpCost[], 9, FALSE)</f>
        <v>150435.66666666666</v>
      </c>
      <c r="D30" s="359">
        <f>VLOOKUP($A30, Ridership[],9, FALSE)</f>
        <v>5951.333333333333</v>
      </c>
      <c r="E30" s="359">
        <f>VLOOKUP($A30, VRHsizing[], 9, FALSE)</f>
        <v>1433.6666666666667</v>
      </c>
      <c r="F30" s="359">
        <f>VLOOKUP($A30, VRMsizing[],9, FALSE)</f>
        <v>18279.666666666668</v>
      </c>
      <c r="G30" s="360">
        <f t="shared" si="0"/>
        <v>3.5301772072183512E-3</v>
      </c>
      <c r="H30" s="360">
        <f t="shared" si="1"/>
        <v>3.4383610404494229E-3</v>
      </c>
      <c r="I30" s="361">
        <f t="shared" si="2"/>
        <v>3.5301772072183512E-3</v>
      </c>
      <c r="J30" s="362">
        <f>MIN(0.3*Rural!B30,Rural!I30*Assumptions!$E$12)</f>
        <v>32584.285792342271</v>
      </c>
      <c r="K30" s="362"/>
      <c r="L30" s="363">
        <f>I30*Assumptions!$E$12-Rural!J30</f>
        <v>0</v>
      </c>
      <c r="M30" s="338">
        <f t="shared" si="3"/>
        <v>3.438361040449422E-3</v>
      </c>
      <c r="N30" s="328">
        <f>MIN(0.3*B30,M30*Assumptions!$E$12)</f>
        <v>31736.803061945986</v>
      </c>
      <c r="O30" s="328"/>
      <c r="P30" s="323">
        <f>M30*Assumptions!$E$12-N30</f>
        <v>0</v>
      </c>
      <c r="Q30" s="304"/>
    </row>
    <row r="31" spans="1:17" ht="16.5" thickBot="1">
      <c r="A31" s="394" t="s">
        <v>77</v>
      </c>
      <c r="B31" s="395">
        <f>VLOOKUP($A31, 'Allocation Calculations'!$B$12:$G$50, 3, FALSE)</f>
        <v>3065339</v>
      </c>
      <c r="C31" s="396">
        <f>VLOOKUP($A31, OpCost[], 9, FALSE)</f>
        <v>2921806</v>
      </c>
      <c r="D31" s="397">
        <f>VLOOKUP($A31, Ridership[],9, FALSE)</f>
        <v>173668.66666666666</v>
      </c>
      <c r="E31" s="397">
        <f>VLOOKUP($A31, VRHsizing[], 9, FALSE)</f>
        <v>45775.333333333336</v>
      </c>
      <c r="F31" s="397">
        <f>VLOOKUP($A31, VRMsizing[],9, FALSE)</f>
        <v>495519.66666666669</v>
      </c>
      <c r="G31" s="398">
        <f t="shared" si="0"/>
        <v>8.3988375863937648E-2</v>
      </c>
      <c r="H31" s="398">
        <f t="shared" si="1"/>
        <v>8.1488098243487045E-2</v>
      </c>
      <c r="I31" s="399">
        <f t="shared" si="2"/>
        <v>8.3988375863937648E-2</v>
      </c>
      <c r="J31" s="400">
        <f>MIN(0.3*Rural!B31,Rural!I31*Assumptions!$E$12)</f>
        <v>775230.55692199233</v>
      </c>
      <c r="K31" s="400"/>
      <c r="L31" s="401">
        <f>I31*Assumptions!$E$12-Rural!J31</f>
        <v>0</v>
      </c>
      <c r="M31" s="339">
        <f t="shared" si="3"/>
        <v>8.1488098243487031E-2</v>
      </c>
      <c r="N31" s="336">
        <f>MIN(0.3*B31,M31*Assumptions!$E$12)</f>
        <v>752152.46317123831</v>
      </c>
      <c r="O31" s="336"/>
      <c r="P31" s="337">
        <f>M31*Assumptions!$E$12-N31</f>
        <v>0</v>
      </c>
      <c r="Q31" s="304"/>
    </row>
    <row r="32" spans="1:17" ht="16.5" thickBot="1">
      <c r="A32" s="376" t="s">
        <v>204</v>
      </c>
      <c r="B32" s="377" t="s">
        <v>134</v>
      </c>
      <c r="C32" s="378">
        <f t="shared" ref="C32:J32" si="4">SUM(C12:C31)</f>
        <v>37866661.999999993</v>
      </c>
      <c r="D32" s="379">
        <f t="shared" si="4"/>
        <v>1722604.6666666665</v>
      </c>
      <c r="E32" s="379">
        <f t="shared" si="4"/>
        <v>490135.31222143339</v>
      </c>
      <c r="F32" s="379">
        <f t="shared" si="4"/>
        <v>8508797.6036666669</v>
      </c>
      <c r="G32" s="380">
        <f t="shared" si="4"/>
        <v>1</v>
      </c>
      <c r="H32" s="380">
        <f t="shared" si="4"/>
        <v>1.0000000000000002</v>
      </c>
      <c r="I32" s="381">
        <f t="shared" si="4"/>
        <v>1</v>
      </c>
      <c r="J32" s="402">
        <f t="shared" si="4"/>
        <v>9137147.277286876</v>
      </c>
      <c r="K32" s="402"/>
      <c r="L32" s="393">
        <f>SUM(L12:L31)</f>
        <v>93065.22471312483</v>
      </c>
      <c r="M32" s="315">
        <f>SUM(M12:M31)</f>
        <v>0.99999999999999989</v>
      </c>
      <c r="N32" s="329">
        <f>SUM(N12:N31)</f>
        <v>9142355.8489104565</v>
      </c>
      <c r="O32" s="329"/>
      <c r="P32" s="316">
        <f>SUM(P12:P31)</f>
        <v>87856.653089543484</v>
      </c>
      <c r="Q32" s="304"/>
    </row>
    <row r="33" spans="1:17" ht="16.5" thickBot="1">
      <c r="A33" s="303"/>
      <c r="B33" s="303"/>
      <c r="C33" s="384"/>
      <c r="D33" s="385"/>
      <c r="E33" s="385"/>
      <c r="F33" s="385"/>
      <c r="G33" s="385"/>
      <c r="H33" s="386"/>
      <c r="I33" s="387"/>
      <c r="J33" s="388"/>
      <c r="K33" s="388"/>
      <c r="L33" s="388"/>
      <c r="M33" s="308"/>
      <c r="N33" s="309"/>
      <c r="O33" s="304"/>
      <c r="P33" s="310"/>
      <c r="Q33" s="304"/>
    </row>
    <row r="34" spans="1:17" ht="16">
      <c r="A34" s="389" t="s">
        <v>187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4"/>
      <c r="P34" s="304"/>
      <c r="Q34" s="304"/>
    </row>
    <row r="35" spans="1:17" ht="16">
      <c r="A35" s="390" t="s">
        <v>218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4"/>
      <c r="P35" s="304"/>
      <c r="Q35" s="304"/>
    </row>
    <row r="36" spans="1:17" ht="16">
      <c r="A36" s="390" t="s">
        <v>186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4"/>
      <c r="P36" s="304"/>
      <c r="Q36" s="304"/>
    </row>
    <row r="37" spans="1:17" ht="16">
      <c r="A37" s="390" t="s">
        <v>193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4"/>
      <c r="P37" s="304"/>
      <c r="Q37" s="304"/>
    </row>
    <row r="46" spans="1:17">
      <c r="C46" s="237"/>
    </row>
  </sheetData>
  <sheetProtection algorithmName="SHA-512" hashValue="ummBKN7wom/uVETH8N1Ieory8o22AIfECNwoUkdDpMQhpXvGE3MCGFj4YTYG62Rpj5Xosi/DUNq3p9CRE9LWCw==" saltValue="Fz3l8h9OOudBi7OCqayv0Q==" spinCount="100000" sheet="1" objects="1" scenarios="1"/>
  <mergeCells count="7">
    <mergeCell ref="M1:P1"/>
    <mergeCell ref="M5:P5"/>
    <mergeCell ref="I6:L6"/>
    <mergeCell ref="M6:P6"/>
    <mergeCell ref="B10:H10"/>
    <mergeCell ref="I10:L10"/>
    <mergeCell ref="M10:P10"/>
  </mergeCells>
  <conditionalFormatting sqref="Q8">
    <cfRule type="cellIs" dxfId="26" priority="1" operator="notEqual">
      <formula>1</formula>
    </cfRule>
  </conditionalFormatting>
  <conditionalFormatting sqref="Q9">
    <cfRule type="expression" dxfId="25" priority="2">
      <formula>$Q$8&lt;&gt; 100%</formula>
    </cfRule>
  </conditionalFormatting>
  <conditionalFormatting sqref="R7">
    <cfRule type="expression" dxfId="24" priority="4">
      <formula>$Q$8&lt;&gt; 100%</formula>
    </cfRule>
  </conditionalFormatting>
  <pageMargins left="0.2" right="0.2" top="0.75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AA6D-80C9-4385-B026-9D6CF3957C31}">
  <sheetPr>
    <pageSetUpPr fitToPage="1"/>
  </sheetPr>
  <dimension ref="A1:CP55"/>
  <sheetViews>
    <sheetView zoomScale="90" zoomScaleNormal="90" workbookViewId="0">
      <pane xSplit="2" topLeftCell="CK1" activePane="topRight" state="frozen"/>
      <selection activeCell="A3" sqref="A1:L1048576"/>
      <selection pane="topRight" activeCell="A3" sqref="A1:L1048576"/>
    </sheetView>
  </sheetViews>
  <sheetFormatPr defaultColWidth="9.26953125" defaultRowHeight="16"/>
  <cols>
    <col min="1" max="1" width="21.26953125" style="6" customWidth="1"/>
    <col min="2" max="2" width="49.453125" style="1" bestFit="1" customWidth="1"/>
    <col min="3" max="3" width="5.81640625" style="1" customWidth="1"/>
    <col min="4" max="4" width="21.26953125" style="1" customWidth="1"/>
    <col min="5" max="5" width="17.453125" style="1" customWidth="1"/>
    <col min="6" max="6" width="14.26953125" style="1" customWidth="1"/>
    <col min="7" max="7" width="13.54296875" style="1" customWidth="1"/>
    <col min="8" max="8" width="16.26953125" style="1" customWidth="1"/>
    <col min="9" max="9" width="17.453125" style="2" customWidth="1"/>
    <col min="10" max="10" width="8" style="1" customWidth="1"/>
    <col min="11" max="11" width="8.7265625" style="1" customWidth="1"/>
    <col min="12" max="12" width="11.54296875" style="1" customWidth="1"/>
    <col min="13" max="14" width="8.7265625" style="1" customWidth="1"/>
    <col min="15" max="17" width="15.7265625" style="1" customWidth="1"/>
    <col min="18" max="21" width="8.7265625" style="1" customWidth="1"/>
    <col min="22" max="23" width="15.7265625" style="1" customWidth="1"/>
    <col min="24" max="24" width="15.7265625" style="3" customWidth="1"/>
    <col min="25" max="28" width="10.7265625" style="1" customWidth="1"/>
    <col min="29" max="30" width="15.7265625" style="1" customWidth="1"/>
    <col min="31" max="31" width="15.7265625" style="3" customWidth="1"/>
    <col min="32" max="35" width="8.7265625" style="1" customWidth="1"/>
    <col min="36" max="37" width="15.7265625" style="1" customWidth="1"/>
    <col min="38" max="38" width="15.7265625" style="3" customWidth="1"/>
    <col min="39" max="41" width="8.7265625" style="1" customWidth="1"/>
    <col min="42" max="42" width="9.26953125" style="1" customWidth="1"/>
    <col min="43" max="44" width="15.7265625" style="1" customWidth="1"/>
    <col min="45" max="45" width="15.7265625" style="3" customWidth="1"/>
    <col min="46" max="46" width="9.26953125" style="1" customWidth="1"/>
    <col min="47" max="51" width="17.7265625" style="1" customWidth="1"/>
    <col min="52" max="52" width="9.26953125" style="1" customWidth="1"/>
    <col min="53" max="53" width="20.26953125" style="1" customWidth="1"/>
    <col min="54" max="58" width="17.7265625" style="1" customWidth="1"/>
    <col min="59" max="59" width="14.26953125" style="1" bestFit="1" customWidth="1"/>
    <col min="60" max="60" width="15.7265625" style="4" customWidth="1"/>
    <col min="61" max="61" width="18.54296875" style="1" customWidth="1"/>
    <col min="62" max="62" width="24.26953125" style="1" customWidth="1"/>
    <col min="63" max="63" width="24.81640625" style="1" customWidth="1"/>
    <col min="64" max="64" width="9.26953125" style="1" customWidth="1"/>
    <col min="65" max="66" width="21.7265625" style="1" customWidth="1"/>
    <col min="67" max="67" width="18.453125" style="1" customWidth="1"/>
    <col min="68" max="68" width="18.453125" style="5" customWidth="1"/>
    <col min="69" max="69" width="20.54296875" style="5" customWidth="1"/>
    <col min="70" max="70" width="22.453125" style="1" customWidth="1"/>
    <col min="71" max="71" width="12.453125" style="1" customWidth="1"/>
    <col min="72" max="72" width="16.81640625" style="1" customWidth="1"/>
    <col min="73" max="73" width="15.1796875" style="1" customWidth="1"/>
    <col min="74" max="74" width="18.26953125" style="1" customWidth="1"/>
    <col min="75" max="75" width="15.81640625" style="1" customWidth="1"/>
    <col min="76" max="76" width="5.26953125" style="1" customWidth="1"/>
    <col min="77" max="78" width="21.7265625" style="1" customWidth="1"/>
    <col min="79" max="79" width="18.453125" style="1" customWidth="1"/>
    <col min="80" max="80" width="18.453125" style="5" customWidth="1"/>
    <col min="81" max="81" width="19.1796875" style="43" customWidth="1"/>
    <col min="82" max="82" width="18" style="45" customWidth="1"/>
    <col min="83" max="83" width="5.54296875" style="45" customWidth="1"/>
    <col min="84" max="84" width="22.453125" style="1" customWidth="1"/>
    <col min="85" max="85" width="17.54296875" style="1" customWidth="1"/>
    <col min="86" max="86" width="21.26953125" style="1" customWidth="1"/>
    <col min="87" max="87" width="17.26953125" style="1" customWidth="1"/>
    <col min="88" max="88" width="23.453125" style="1" customWidth="1"/>
    <col min="89" max="89" width="13" style="1" customWidth="1"/>
    <col min="90" max="90" width="17.453125" style="1" customWidth="1"/>
    <col min="91" max="91" width="15.81640625" style="1" customWidth="1"/>
    <col min="92" max="92" width="19.26953125" style="1" bestFit="1" customWidth="1"/>
    <col min="93" max="93" width="16.54296875" style="1" customWidth="1"/>
    <col min="94" max="94" width="14.81640625" style="1" bestFit="1" customWidth="1"/>
    <col min="95" max="16384" width="9.26953125" style="1"/>
  </cols>
  <sheetData>
    <row r="1" spans="1:94" s="74" customFormat="1" ht="21">
      <c r="A1" s="109" t="s">
        <v>161</v>
      </c>
      <c r="D1" s="75"/>
      <c r="G1" s="76"/>
      <c r="I1" s="77"/>
      <c r="X1" s="78"/>
      <c r="AE1" s="78"/>
      <c r="AL1" s="78"/>
      <c r="AS1" s="78"/>
      <c r="BH1" s="79"/>
      <c r="BM1" s="80"/>
      <c r="BP1" s="81"/>
      <c r="BQ1" s="81"/>
      <c r="BZ1" s="80"/>
      <c r="CA1" s="80"/>
      <c r="CB1" s="80"/>
      <c r="CC1" s="95"/>
      <c r="CD1" s="96"/>
      <c r="CE1" s="96"/>
      <c r="CG1" s="95"/>
      <c r="CH1" s="95"/>
      <c r="CI1" s="95"/>
    </row>
    <row r="2" spans="1:94" ht="15" customHeight="1">
      <c r="B2" s="7"/>
      <c r="C2" s="7"/>
      <c r="D2" s="73"/>
      <c r="E2" s="8"/>
      <c r="F2" s="6"/>
      <c r="G2" s="72"/>
      <c r="I2" s="9"/>
      <c r="M2" s="10"/>
      <c r="O2" s="11"/>
      <c r="P2" s="11"/>
      <c r="S2" s="10"/>
      <c r="Z2" s="10"/>
      <c r="AG2" s="10"/>
      <c r="AN2" s="10"/>
      <c r="CC2" s="84"/>
      <c r="CD2" s="95"/>
      <c r="CE2" s="95"/>
      <c r="CF2" s="95"/>
      <c r="CG2" s="95"/>
      <c r="CH2" s="95"/>
      <c r="CI2" s="95"/>
    </row>
    <row r="3" spans="1:94" s="84" customFormat="1" ht="15" customHeight="1">
      <c r="B3" s="85"/>
      <c r="C3" s="85"/>
      <c r="D3" s="487" t="s">
        <v>0</v>
      </c>
      <c r="E3" s="487"/>
      <c r="F3" s="487"/>
      <c r="G3" s="487"/>
      <c r="H3" s="487"/>
      <c r="I3" s="487"/>
      <c r="K3" s="487" t="s">
        <v>1</v>
      </c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  <c r="AR3" s="487"/>
      <c r="AS3" s="487"/>
      <c r="AU3" s="487" t="s">
        <v>2</v>
      </c>
      <c r="AV3" s="487"/>
      <c r="AW3" s="487"/>
      <c r="AX3" s="487"/>
      <c r="AY3" s="487"/>
      <c r="AZ3" s="85"/>
      <c r="BA3" s="487" t="s">
        <v>3</v>
      </c>
      <c r="BB3" s="487"/>
      <c r="BC3" s="487"/>
      <c r="BD3" s="487"/>
      <c r="BE3" s="487"/>
      <c r="BF3" s="487"/>
      <c r="BH3" s="487" t="s">
        <v>4</v>
      </c>
      <c r="BI3" s="487"/>
      <c r="BJ3" s="487"/>
      <c r="BK3" s="487"/>
      <c r="BL3" s="487"/>
      <c r="BM3" s="487"/>
      <c r="BN3" s="487"/>
      <c r="BO3" s="487"/>
      <c r="BP3" s="487"/>
      <c r="BQ3" s="487"/>
      <c r="BR3" s="487"/>
      <c r="BT3" s="487" t="s">
        <v>5</v>
      </c>
      <c r="BU3" s="487"/>
      <c r="BV3" s="487"/>
      <c r="BW3" s="487"/>
      <c r="BX3" s="487"/>
      <c r="BY3" s="487"/>
      <c r="BZ3" s="487"/>
      <c r="CA3" s="487"/>
      <c r="CB3" s="487"/>
      <c r="CC3" s="487"/>
      <c r="CD3" s="487"/>
      <c r="CE3" s="94"/>
      <c r="CF3" s="487" t="s">
        <v>6</v>
      </c>
      <c r="CG3" s="487"/>
      <c r="CH3" s="487"/>
      <c r="CI3" s="487"/>
      <c r="CJ3" s="85"/>
    </row>
    <row r="4" spans="1:94" s="84" customFormat="1" ht="15" customHeight="1">
      <c r="B4" s="85"/>
      <c r="C4" s="85"/>
      <c r="D4" s="86"/>
      <c r="E4" s="86"/>
      <c r="F4" s="86"/>
      <c r="G4" s="86"/>
      <c r="H4" s="86"/>
      <c r="I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U4" s="86"/>
      <c r="AV4" s="86"/>
      <c r="AW4" s="86"/>
      <c r="AX4" s="86"/>
      <c r="AY4" s="86"/>
      <c r="AZ4" s="85"/>
      <c r="BA4" s="86"/>
      <c r="BB4" s="86"/>
      <c r="BC4" s="86"/>
      <c r="BD4" s="86"/>
      <c r="BE4" s="86"/>
      <c r="BF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CB4" s="87"/>
      <c r="CC4" s="94"/>
      <c r="CD4" s="94"/>
      <c r="CE4" s="94"/>
      <c r="CF4" s="94"/>
      <c r="CG4" s="94"/>
      <c r="CH4" s="94"/>
      <c r="CI4" s="94"/>
    </row>
    <row r="5" spans="1:94" ht="15" customHeight="1">
      <c r="B5" s="7"/>
      <c r="C5" s="7"/>
      <c r="D5" s="88" t="s">
        <v>7</v>
      </c>
      <c r="E5" s="8"/>
      <c r="F5" s="6"/>
      <c r="G5" s="72"/>
      <c r="I5" s="9"/>
      <c r="M5" s="10"/>
      <c r="O5" s="11"/>
      <c r="P5" s="11"/>
      <c r="S5" s="10"/>
      <c r="Z5" s="10"/>
      <c r="AG5" s="10"/>
      <c r="AN5" s="10"/>
      <c r="AU5" s="488" t="s">
        <v>8</v>
      </c>
      <c r="AV5" s="489"/>
      <c r="AW5" s="489"/>
      <c r="AX5" s="489"/>
      <c r="AY5" s="490"/>
      <c r="BA5" s="167" t="s">
        <v>9</v>
      </c>
      <c r="BJ5" s="167" t="s">
        <v>10</v>
      </c>
      <c r="BM5" s="167" t="s">
        <v>11</v>
      </c>
      <c r="BZ5" s="167" t="s">
        <v>12</v>
      </c>
      <c r="CC5" s="47"/>
      <c r="CD5" s="47"/>
      <c r="CE5" s="47"/>
      <c r="CF5" s="47"/>
      <c r="CG5" s="47"/>
      <c r="CH5" s="47"/>
      <c r="CI5" s="47"/>
    </row>
    <row r="6" spans="1:94">
      <c r="B6" s="12"/>
      <c r="C6" s="12"/>
      <c r="D6" s="168">
        <v>0.5</v>
      </c>
      <c r="E6" s="168">
        <v>0.3</v>
      </c>
      <c r="F6" s="168">
        <v>0.1</v>
      </c>
      <c r="G6" s="168">
        <v>0.1</v>
      </c>
      <c r="I6" s="9"/>
      <c r="M6" s="10"/>
      <c r="O6" s="11"/>
      <c r="P6" s="11"/>
      <c r="S6" s="10"/>
      <c r="Z6" s="10"/>
      <c r="AG6" s="10"/>
      <c r="AN6" s="10"/>
      <c r="AU6" s="169">
        <v>0.2</v>
      </c>
      <c r="AV6" s="169">
        <v>0.2</v>
      </c>
      <c r="AW6" s="169">
        <v>0.2</v>
      </c>
      <c r="AX6" s="169">
        <v>0.2</v>
      </c>
      <c r="AY6" s="169">
        <v>0.2</v>
      </c>
      <c r="AZ6" s="13"/>
      <c r="BA6" s="170">
        <v>138800188</v>
      </c>
      <c r="BB6" s="1" t="s">
        <v>185</v>
      </c>
      <c r="BJ6" s="171">
        <v>0.3</v>
      </c>
      <c r="BM6" s="172">
        <f>$BK$51</f>
        <v>1636832.8396130679</v>
      </c>
      <c r="BZ6" s="172">
        <f>BW51</f>
        <v>0</v>
      </c>
      <c r="CC6" s="47"/>
      <c r="CD6" s="47"/>
      <c r="CE6" s="47"/>
      <c r="CF6" s="47"/>
      <c r="CG6" s="47"/>
      <c r="CH6" s="47"/>
      <c r="CI6" s="47"/>
    </row>
    <row r="7" spans="1:94">
      <c r="B7" s="12"/>
      <c r="C7" s="12"/>
      <c r="D7" s="89"/>
      <c r="E7" s="89"/>
      <c r="F7" s="89"/>
      <c r="G7" s="89"/>
      <c r="I7" s="9"/>
      <c r="M7" s="10"/>
      <c r="O7" s="11"/>
      <c r="P7" s="11"/>
      <c r="S7" s="10"/>
      <c r="Z7" s="10"/>
      <c r="AG7" s="10"/>
      <c r="AN7" s="10"/>
      <c r="AU7" s="90"/>
      <c r="AV7" s="90"/>
      <c r="AW7" s="90"/>
      <c r="AX7" s="90"/>
      <c r="AY7" s="90"/>
      <c r="AZ7" s="13"/>
      <c r="BA7" s="91"/>
      <c r="BJ7" s="92"/>
      <c r="BM7" s="93"/>
      <c r="BZ7" s="93"/>
      <c r="CC7" s="47"/>
      <c r="CD7" s="47"/>
      <c r="CE7" s="47"/>
      <c r="CF7" s="47"/>
      <c r="CG7" s="47"/>
      <c r="CH7" s="47"/>
      <c r="CI7" s="47"/>
    </row>
    <row r="8" spans="1:94" ht="15" customHeight="1" thickBot="1">
      <c r="A8" s="1"/>
      <c r="D8" s="14" t="s">
        <v>140</v>
      </c>
      <c r="I8" s="108" t="s">
        <v>13</v>
      </c>
      <c r="K8" s="14" t="s">
        <v>141</v>
      </c>
      <c r="BY8" s="107"/>
      <c r="CC8" s="47"/>
      <c r="CD8" s="47"/>
      <c r="CE8" s="47"/>
      <c r="CF8" s="47"/>
      <c r="CG8" s="47"/>
      <c r="CH8" s="47"/>
      <c r="CI8" s="47"/>
    </row>
    <row r="9" spans="1:94" s="13" customFormat="1">
      <c r="A9" s="494" t="s">
        <v>14</v>
      </c>
      <c r="B9" s="491" t="s">
        <v>15</v>
      </c>
      <c r="C9" s="82"/>
      <c r="D9" s="39" t="s">
        <v>16</v>
      </c>
      <c r="E9" s="40"/>
      <c r="F9" s="40"/>
      <c r="G9" s="40"/>
      <c r="H9" s="41"/>
      <c r="I9" s="64"/>
      <c r="K9" s="29" t="s">
        <v>17</v>
      </c>
      <c r="L9" s="29"/>
      <c r="M9" s="29"/>
      <c r="N9" s="29"/>
      <c r="O9" s="29"/>
      <c r="P9" s="29"/>
      <c r="Q9" s="30"/>
      <c r="R9" s="28" t="s">
        <v>18</v>
      </c>
      <c r="S9" s="29"/>
      <c r="T9" s="29"/>
      <c r="U9" s="29"/>
      <c r="V9" s="29"/>
      <c r="W9" s="29"/>
      <c r="X9" s="30"/>
      <c r="Y9" s="28" t="s">
        <v>19</v>
      </c>
      <c r="Z9" s="29"/>
      <c r="AA9" s="29"/>
      <c r="AB9" s="29"/>
      <c r="AC9" s="29"/>
      <c r="AD9" s="29"/>
      <c r="AE9" s="30"/>
      <c r="AF9" s="28" t="s">
        <v>20</v>
      </c>
      <c r="AG9" s="29"/>
      <c r="AH9" s="29"/>
      <c r="AI9" s="29"/>
      <c r="AJ9" s="29"/>
      <c r="AK9" s="29"/>
      <c r="AL9" s="30"/>
      <c r="AM9" s="28" t="s">
        <v>21</v>
      </c>
      <c r="AN9" s="29"/>
      <c r="AO9" s="29"/>
      <c r="AP9" s="29"/>
      <c r="AQ9" s="29"/>
      <c r="AR9" s="29"/>
      <c r="AS9" s="29"/>
      <c r="BA9" s="15"/>
      <c r="BB9" s="15"/>
      <c r="BC9" s="15"/>
      <c r="BD9" s="15"/>
      <c r="BE9" s="15"/>
      <c r="BH9" s="16"/>
      <c r="BI9" s="107"/>
      <c r="BM9" s="107"/>
      <c r="BN9" s="36"/>
      <c r="BO9" s="36"/>
      <c r="BP9" s="37"/>
      <c r="BQ9" s="107"/>
      <c r="BU9" s="107"/>
      <c r="BY9" s="36" t="s">
        <v>22</v>
      </c>
      <c r="BZ9" s="36"/>
      <c r="CA9" s="36"/>
      <c r="CB9" s="37"/>
      <c r="CC9" s="107"/>
      <c r="CD9" s="107"/>
      <c r="CE9" s="44"/>
      <c r="CF9" s="107"/>
      <c r="CG9" s="107"/>
      <c r="CH9" s="107"/>
      <c r="CI9" s="107"/>
    </row>
    <row r="10" spans="1:94" s="160" customFormat="1" ht="16.5" thickBot="1">
      <c r="A10" s="495"/>
      <c r="B10" s="492"/>
      <c r="C10" s="159"/>
      <c r="D10" s="65">
        <f>D$6</f>
        <v>0.5</v>
      </c>
      <c r="E10" s="65">
        <f>E$6</f>
        <v>0.3</v>
      </c>
      <c r="F10" s="65">
        <f>F$6</f>
        <v>0.1</v>
      </c>
      <c r="G10" s="65">
        <f>G$6</f>
        <v>0.1</v>
      </c>
      <c r="H10" s="65"/>
      <c r="I10" s="66"/>
      <c r="J10" s="13"/>
      <c r="K10" s="59" t="s">
        <v>23</v>
      </c>
      <c r="L10" s="60"/>
      <c r="M10" s="60"/>
      <c r="N10" s="60"/>
      <c r="O10" s="60"/>
      <c r="P10" s="60"/>
      <c r="Q10" s="31"/>
      <c r="R10" s="192" t="s">
        <v>24</v>
      </c>
      <c r="S10" s="60"/>
      <c r="T10" s="60"/>
      <c r="U10" s="60"/>
      <c r="V10" s="60"/>
      <c r="W10" s="60"/>
      <c r="X10" s="31"/>
      <c r="Y10" s="192" t="s">
        <v>25</v>
      </c>
      <c r="Z10" s="60"/>
      <c r="AA10" s="60"/>
      <c r="AB10" s="60"/>
      <c r="AC10" s="60"/>
      <c r="AD10" s="60"/>
      <c r="AE10" s="31"/>
      <c r="AF10" s="192" t="s">
        <v>26</v>
      </c>
      <c r="AG10" s="60"/>
      <c r="AH10" s="60"/>
      <c r="AI10" s="60"/>
      <c r="AJ10" s="60"/>
      <c r="AK10" s="60"/>
      <c r="AL10" s="31"/>
      <c r="AM10" s="192" t="s">
        <v>27</v>
      </c>
      <c r="AN10" s="60"/>
      <c r="AO10" s="60"/>
      <c r="AP10" s="60"/>
      <c r="AQ10" s="60"/>
      <c r="AR10" s="60"/>
      <c r="AS10" s="60"/>
      <c r="BH10" s="161" t="s">
        <v>28</v>
      </c>
      <c r="BM10" s="161" t="s">
        <v>29</v>
      </c>
      <c r="BP10" s="162"/>
      <c r="BQ10" s="162"/>
      <c r="BR10" s="161"/>
      <c r="BT10" s="161" t="s">
        <v>30</v>
      </c>
      <c r="BY10" s="161" t="s">
        <v>31</v>
      </c>
      <c r="CB10" s="162"/>
      <c r="CD10" s="163"/>
      <c r="CE10" s="163"/>
      <c r="CF10" s="164" t="s">
        <v>32</v>
      </c>
    </row>
    <row r="11" spans="1:94" s="17" customFormat="1" ht="101.25" customHeight="1">
      <c r="A11" s="496"/>
      <c r="B11" s="493"/>
      <c r="C11" s="83"/>
      <c r="D11" s="67" t="s">
        <v>136</v>
      </c>
      <c r="E11" s="173" t="s">
        <v>137</v>
      </c>
      <c r="F11" s="173" t="s">
        <v>138</v>
      </c>
      <c r="G11" s="173" t="s">
        <v>139</v>
      </c>
      <c r="H11" s="173" t="s">
        <v>33</v>
      </c>
      <c r="I11" s="68" t="s">
        <v>34</v>
      </c>
      <c r="K11" s="224">
        <v>2022</v>
      </c>
      <c r="L11" s="61">
        <v>2023</v>
      </c>
      <c r="M11" s="61">
        <v>2024</v>
      </c>
      <c r="N11" s="61">
        <v>2025</v>
      </c>
      <c r="O11" s="174" t="s">
        <v>35</v>
      </c>
      <c r="P11" s="174" t="s">
        <v>36</v>
      </c>
      <c r="Q11" s="62" t="s">
        <v>37</v>
      </c>
      <c r="R11" s="61">
        <v>2022</v>
      </c>
      <c r="S11" s="61">
        <v>2023</v>
      </c>
      <c r="T11" s="61">
        <v>2024</v>
      </c>
      <c r="U11" s="61">
        <v>2025</v>
      </c>
      <c r="V11" s="174" t="s">
        <v>38</v>
      </c>
      <c r="W11" s="174" t="s">
        <v>39</v>
      </c>
      <c r="X11" s="62" t="s">
        <v>37</v>
      </c>
      <c r="Y11" s="61">
        <v>2022</v>
      </c>
      <c r="Z11" s="61">
        <v>2023</v>
      </c>
      <c r="AA11" s="61">
        <v>2024</v>
      </c>
      <c r="AB11" s="61">
        <v>2025</v>
      </c>
      <c r="AC11" s="174" t="s">
        <v>40</v>
      </c>
      <c r="AD11" s="174" t="s">
        <v>41</v>
      </c>
      <c r="AE11" s="62" t="s">
        <v>37</v>
      </c>
      <c r="AF11" s="61">
        <v>2022</v>
      </c>
      <c r="AG11" s="61">
        <v>2023</v>
      </c>
      <c r="AH11" s="61">
        <v>2024</v>
      </c>
      <c r="AI11" s="61">
        <v>2025</v>
      </c>
      <c r="AJ11" s="174" t="s">
        <v>42</v>
      </c>
      <c r="AK11" s="174" t="s">
        <v>43</v>
      </c>
      <c r="AL11" s="62" t="s">
        <v>37</v>
      </c>
      <c r="AM11" s="61">
        <v>2022</v>
      </c>
      <c r="AN11" s="61">
        <v>2023</v>
      </c>
      <c r="AO11" s="61">
        <v>2024</v>
      </c>
      <c r="AP11" s="61">
        <v>2025</v>
      </c>
      <c r="AQ11" s="174" t="s">
        <v>44</v>
      </c>
      <c r="AR11" s="174" t="s">
        <v>45</v>
      </c>
      <c r="AS11" s="63" t="s">
        <v>37</v>
      </c>
      <c r="AU11" s="57" t="s">
        <v>46</v>
      </c>
      <c r="AV11" s="32" t="s">
        <v>47</v>
      </c>
      <c r="AW11" s="32" t="s">
        <v>48</v>
      </c>
      <c r="AX11" s="32" t="s">
        <v>49</v>
      </c>
      <c r="AY11" s="58" t="s">
        <v>50</v>
      </c>
      <c r="BA11" s="55" t="s">
        <v>51</v>
      </c>
      <c r="BB11" s="33" t="s">
        <v>52</v>
      </c>
      <c r="BC11" s="33" t="s">
        <v>53</v>
      </c>
      <c r="BD11" s="33" t="s">
        <v>54</v>
      </c>
      <c r="BE11" s="33" t="s">
        <v>55</v>
      </c>
      <c r="BF11" s="56" t="s">
        <v>56</v>
      </c>
      <c r="BH11" s="53" t="s">
        <v>57</v>
      </c>
      <c r="BI11" s="34" t="s">
        <v>58</v>
      </c>
      <c r="BJ11" s="34" t="s">
        <v>59</v>
      </c>
      <c r="BK11" s="54" t="s">
        <v>60</v>
      </c>
      <c r="BM11" s="53" t="s">
        <v>61</v>
      </c>
      <c r="BN11" s="34" t="s">
        <v>62</v>
      </c>
      <c r="BO11" s="34" t="s">
        <v>63</v>
      </c>
      <c r="BP11" s="104" t="s">
        <v>64</v>
      </c>
      <c r="BQ11" s="34" t="s">
        <v>65</v>
      </c>
      <c r="BR11" s="35" t="s">
        <v>66</v>
      </c>
      <c r="BT11" s="50" t="s">
        <v>57</v>
      </c>
      <c r="BU11" s="38" t="s">
        <v>58</v>
      </c>
      <c r="BV11" s="38" t="s">
        <v>59</v>
      </c>
      <c r="BW11" s="51" t="s">
        <v>60</v>
      </c>
      <c r="BY11" s="50" t="s">
        <v>61</v>
      </c>
      <c r="BZ11" s="38" t="s">
        <v>62</v>
      </c>
      <c r="CA11" s="38" t="s">
        <v>63</v>
      </c>
      <c r="CB11" s="51" t="s">
        <v>67</v>
      </c>
      <c r="CC11" s="38" t="s">
        <v>68</v>
      </c>
      <c r="CD11" s="51" t="s">
        <v>69</v>
      </c>
      <c r="CE11" s="99"/>
      <c r="CF11" s="48" t="s">
        <v>70</v>
      </c>
      <c r="CG11" s="46" t="s">
        <v>71</v>
      </c>
      <c r="CH11" s="46" t="s">
        <v>72</v>
      </c>
      <c r="CI11" s="49" t="s">
        <v>73</v>
      </c>
      <c r="CJ11" s="274" t="s">
        <v>199</v>
      </c>
      <c r="CK11" s="275" t="s">
        <v>197</v>
      </c>
      <c r="CL11" s="285" t="s">
        <v>200</v>
      </c>
      <c r="CM11" s="275" t="s">
        <v>198</v>
      </c>
      <c r="CN11" s="285" t="s">
        <v>201</v>
      </c>
      <c r="CO11" s="282" t="s">
        <v>202</v>
      </c>
    </row>
    <row r="12" spans="1:94">
      <c r="A12" s="69" t="s">
        <v>74</v>
      </c>
      <c r="B12" s="240" t="s">
        <v>75</v>
      </c>
      <c r="C12" s="27"/>
      <c r="D12" s="70">
        <f>'Op Cost - Performance'!E2</f>
        <v>2524115</v>
      </c>
      <c r="E12" s="175">
        <f>'Ridership'!$E2</f>
        <v>130218</v>
      </c>
      <c r="F12" s="175">
        <f>'Revenue Hours - Sizing'!E2</f>
        <v>28183</v>
      </c>
      <c r="G12" s="175">
        <f>'Revenue Miles - Sizing'!E2</f>
        <v>563585</v>
      </c>
      <c r="H12" s="176">
        <f>IFERROR($D$10*(D12/D$51),0) + IFERROR($E$10*(E12/E$51),0) + IFERROR($F$10*(F12/F$51),0) + IFERROR($G$10*(G12/G$51),0)</f>
        <v>4.0116223392876339E-3</v>
      </c>
      <c r="I12" s="110">
        <f t="shared" ref="I12:I50" si="0">H12/(SUM($H$12:$H$50))</f>
        <v>4.0116223392876339E-3</v>
      </c>
      <c r="J12" s="111"/>
      <c r="K12" s="112">
        <f>'Ridership'!B2/'Revenue Hours'!B2</f>
        <v>3.1691372472531043</v>
      </c>
      <c r="L12" s="177">
        <f>'Ridership'!C2/'Revenue Hours'!C2</f>
        <v>3.6951123254401943</v>
      </c>
      <c r="M12" s="177">
        <f>'Ridership'!D2/'Revenue Hours'!D2</f>
        <v>3.9434511566089681</v>
      </c>
      <c r="N12" s="177">
        <f>'Ridership'!E2/'Revenue Hours'!E2</f>
        <v>4.6204449490827804</v>
      </c>
      <c r="O12" s="178">
        <f t="shared" ref="O12:O50" si="1">IF(K12=0,IF(L12=0,1,AVERAGE(1,(M12/L12)/($M$51/$L$51),(N12/M12)/($N$51/$M$51))), AVERAGE((L12/K12)/($L$51/$K$51),(M12/L12)/($M$51/$L$51),(N12/M12)/($N$51/$M$51)))</f>
        <v>1.0276488181997583</v>
      </c>
      <c r="P12" s="179">
        <f t="shared" ref="P12:P50" si="2">$I12*O12</f>
        <v>4.1225389560326864E-3</v>
      </c>
      <c r="Q12" s="113">
        <f t="shared" ref="Q12:Q50" si="3">P12/SUM($P$12:$P$50)</f>
        <v>4.0814078329043935E-3</v>
      </c>
      <c r="R12" s="114">
        <f>'Ridership'!B2/'Revenue Miles'!B2</f>
        <v>0.15372497942218116</v>
      </c>
      <c r="S12" s="177">
        <f>'Ridership'!C2/'Revenue Miles'!C2</f>
        <v>0.17586518789083722</v>
      </c>
      <c r="T12" s="177">
        <f>'Ridership'!D2/'Revenue Miles'!D2</f>
        <v>0.19149279464507979</v>
      </c>
      <c r="U12" s="177">
        <f>'Ridership'!E2/'Revenue Miles'!E2</f>
        <v>0.23105299111935201</v>
      </c>
      <c r="V12" s="178">
        <f t="shared" ref="V12:V50" si="4">IF(R12=0,IF(S12=0,1,AVERAGE(1,(T12/S12)/($T$51/$S$51),(U12/T12)/($U$51/$T$51))), AVERAGE((S12/R12)/($S$51/$R$51),(T12/S12)/($T$51/$S$51),(U12/T12)/($U$51/$T$51)))</f>
        <v>1.036232675939792</v>
      </c>
      <c r="W12" s="179">
        <f t="shared" ref="W12:W50" si="5">$I12*V12</f>
        <v>4.1569741514998725E-3</v>
      </c>
      <c r="X12" s="113">
        <f t="shared" ref="X12:X50" si="6">W12/SUM($W$12:$W$50)</f>
        <v>4.1083476136075719E-3</v>
      </c>
      <c r="Y12" s="262">
        <f>'Op Cost - Performance'!B2/'Revenue Hours'!B2</f>
        <v>74.945094597230351</v>
      </c>
      <c r="Z12" s="263">
        <f>'Op Cost - Performance'!C2/'Revenue Hours'!C2</f>
        <v>75.894444444444446</v>
      </c>
      <c r="AA12" s="263">
        <f>'Op Cost - Performance'!D2/'Revenue Hours'!D2</f>
        <v>80.803487231416725</v>
      </c>
      <c r="AB12" s="263">
        <f>'Op Cost - Performance'!E2/'Revenue Hours'!E2</f>
        <v>89.561615158074019</v>
      </c>
      <c r="AC12" s="178">
        <f t="shared" ref="AC12:AC50" si="7">IF(Y12=0,IF(Z12=0,1,AVERAGE(1,(AA12/Z12)/($AA$51/$AA$51),(AB12/AA12)/($AB$51/$AA$51))), AVERAGE((Z12/Y12)/($Z$51/$Y$51),(AA12/Z12)/($AA$51/$Z$51),(AB12/AA12)/($AB$51/$AA$51)))</f>
        <v>0.99586829576587055</v>
      </c>
      <c r="AD12" s="179">
        <f t="shared" ref="AD12:AD50" si="8">$I12*(1/AC12)</f>
        <v>4.0282659427394495E-3</v>
      </c>
      <c r="AE12" s="113">
        <f t="shared" ref="AE12:AE50" si="9">AD12/SUM($AD$12:$AD$50)</f>
        <v>4.0163882622050078E-3</v>
      </c>
      <c r="AF12" s="262">
        <f>'Op Cost - Performance'!B2/'Revenue Miles'!B2</f>
        <v>3.6353531658304137</v>
      </c>
      <c r="AG12" s="263">
        <f>'Op Cost - Performance'!C2/'Revenue Miles'!C2</f>
        <v>3.61212043276733</v>
      </c>
      <c r="AH12" s="263">
        <f>'Op Cost - Performance'!D2/'Revenue Miles'!D2</f>
        <v>3.9237928840781477</v>
      </c>
      <c r="AI12" s="263">
        <f>'Op Cost - Performance'!E2/'Revenue Miles'!E2</f>
        <v>4.4786766858592761</v>
      </c>
      <c r="AJ12" s="178">
        <f t="shared" ref="AJ12:AJ50" si="10">IF(AF12=0,IF(AG12=0,1,AVERAGE(1,(AH12/AG12)/($AH$51/$AG$51),(AI12/AH12)/($AI$51/$AH$51))), AVERAGE((AG12/AF12)/($AG$51/$AF$51),(AH12/AG12)/($AH$51/$AG$51),(AI12/AH12)/($AI$51/$AH$51)))</f>
        <v>1.0044057282949106</v>
      </c>
      <c r="AK12" s="179">
        <f t="shared" ref="AK12:AK50" si="11">$I12*(1/AJ12)</f>
        <v>3.994025747043284E-3</v>
      </c>
      <c r="AL12" s="113">
        <f t="shared" ref="AL12:AL50" si="12">AK12/SUM($AK$12:$AK$50)</f>
        <v>3.9898439646489162E-3</v>
      </c>
      <c r="AM12" s="262">
        <f>'Op Cost - Performance'!B2/'Ridership'!B2</f>
        <v>23.64842187323698</v>
      </c>
      <c r="AN12" s="263">
        <f>'Op Cost - Performance'!C2/'Ridership'!C2</f>
        <v>20.53914408012028</v>
      </c>
      <c r="AO12" s="263">
        <f>'Op Cost - Performance'!D2/'Ridership'!D2</f>
        <v>20.490551048412335</v>
      </c>
      <c r="AP12" s="263">
        <f>'Op Cost - Performance'!E2/'Ridership'!E2</f>
        <v>19.383764149349552</v>
      </c>
      <c r="AQ12" s="264">
        <f t="shared" ref="AQ12:AQ50" si="13">IF(AM12=0,IF(AN12=0,1,AVERAGE(1,(AO12/AN12)/($AO$51/$AN$51),(AP12/AO12)/($AP$51/$AO$51))), AVERAGE((AN12/AM12)/($AN$51/$AM$51),(AO12/AN12)/($AO$51/$AN$51),(AP12/AO12)/($AP$51/$AO$51)))</f>
        <v>0.97014571290390972</v>
      </c>
      <c r="AR12" s="179">
        <f t="shared" ref="AR12:AR50" si="14">$I12*(1/AQ12)</f>
        <v>4.1350719648904685E-3</v>
      </c>
      <c r="AS12" s="115">
        <f t="shared" ref="AS12:AS50" si="15">AR12/SUM($AR$12:$AR$50)</f>
        <v>4.1206726913321058E-3</v>
      </c>
      <c r="AT12" s="111"/>
      <c r="AU12" s="116">
        <f t="shared" ref="AU12:AU50" si="16">Q12*AU$6</f>
        <v>8.1628156658087876E-4</v>
      </c>
      <c r="AV12" s="180">
        <f t="shared" ref="AV12:AV50" si="17">X12*AV$6</f>
        <v>8.2166952272151443E-4</v>
      </c>
      <c r="AW12" s="180">
        <f t="shared" ref="AW12:AW50" si="18">AE12*AW$6</f>
        <v>8.0327765244100164E-4</v>
      </c>
      <c r="AX12" s="180">
        <f t="shared" ref="AX12:AX50" si="19">AL12*AX$6</f>
        <v>7.9796879292978328E-4</v>
      </c>
      <c r="AY12" s="117">
        <f t="shared" ref="AY12:AY50" si="20">AS12*AY$6</f>
        <v>8.2413453826642126E-4</v>
      </c>
      <c r="AZ12" s="111"/>
      <c r="BA12" s="118">
        <f t="shared" ref="BA12:BA51" si="21">AU12*$BA$6</f>
        <v>113300.03490236049</v>
      </c>
      <c r="BB12" s="181">
        <f t="shared" ref="BB12:BB51" si="22">AV12*$BA$6</f>
        <v>114047.88422761648</v>
      </c>
      <c r="BC12" s="181">
        <f t="shared" ref="BC12:BC51" si="23">AW12*$BA$6</f>
        <v>111495.08917500969</v>
      </c>
      <c r="BD12" s="181">
        <f t="shared" ref="BD12:BD51" si="24">AX12*$BA$6</f>
        <v>110758.21847678699</v>
      </c>
      <c r="BE12" s="181">
        <f t="shared" ref="BE12:BE51" si="25">AY12*$BA$6</f>
        <v>114390.02884867246</v>
      </c>
      <c r="BF12" s="119">
        <f t="shared" ref="BF12:BF51" si="26">SUM(BA12:BE12)</f>
        <v>563991.25563044613</v>
      </c>
      <c r="BH12" s="257">
        <f>'Op Cost - Performance'!E2</f>
        <v>2524115</v>
      </c>
      <c r="BI12" s="182">
        <f t="shared" ref="BI12:BI50" si="27">BF12/BH12</f>
        <v>0.22344118854744976</v>
      </c>
      <c r="BJ12" s="183">
        <f t="shared" ref="BJ12:BJ50" si="28">IF(BF12&gt;BH12*$BJ$6,BH12*$BJ$6,BF12)</f>
        <v>563991.25563044613</v>
      </c>
      <c r="BK12" s="138">
        <f t="shared" ref="BK12:BK50" si="29">BF12-BJ12</f>
        <v>0</v>
      </c>
      <c r="BM12" s="52">
        <f t="shared" ref="BM12:BM50" si="30">IF(OR(BK12&gt;0,BI12&gt;=$BJ$6),0,BJ12)</f>
        <v>563991.25563044613</v>
      </c>
      <c r="BN12" s="184">
        <f t="shared" ref="BN12:BN50" si="31">BM12/$BM$51</f>
        <v>4.6580708252923096E-3</v>
      </c>
      <c r="BO12" s="259">
        <f t="shared" ref="BO12:BO50" si="32">BN12*$BM$6</f>
        <v>7624.4832960819977</v>
      </c>
      <c r="BP12" s="259">
        <f>(BO12+BJ12)</f>
        <v>571615.73892652814</v>
      </c>
      <c r="BQ12" s="185">
        <f>BP12/BH12</f>
        <v>0.22646184461743152</v>
      </c>
      <c r="BR12" s="142">
        <f t="shared" ref="BR12:BR50" si="33">IF(BP12&gt;($BJ$6*BH12),1,0)</f>
        <v>0</v>
      </c>
      <c r="BS12" s="11"/>
      <c r="BT12" s="256">
        <f t="shared" ref="BT12:BT50" si="34">BH12</f>
        <v>2524115</v>
      </c>
      <c r="BU12" s="186">
        <f>BP12/BT12</f>
        <v>0.22646184461743152</v>
      </c>
      <c r="BV12" s="187">
        <f t="shared" ref="BV12:BV50" si="35">IF(BP12&gt;BH12*$BJ$6,BH12*$BJ$6,BP12)</f>
        <v>571615.73892652814</v>
      </c>
      <c r="BW12" s="143">
        <f t="shared" ref="BW12:BW51" si="36">BP12-BV12</f>
        <v>0</v>
      </c>
      <c r="BY12" s="52">
        <f>IF(OR(BW12&gt;0,BU12&gt;=$BJ$6),0,BV12)</f>
        <v>571615.73892652814</v>
      </c>
      <c r="BZ12" s="188">
        <f t="shared" ref="BZ12:BZ51" si="37">BY12/$BY$51</f>
        <v>4.6580708252923113E-3</v>
      </c>
      <c r="CA12" s="189">
        <f t="shared" ref="CA12:CA51" si="38">BZ12*$BZ$6</f>
        <v>0</v>
      </c>
      <c r="CB12" s="147">
        <f>(CA12+BV12)</f>
        <v>571615.73892652814</v>
      </c>
      <c r="CC12" s="190">
        <f>CB12/BT12</f>
        <v>0.22646184461743152</v>
      </c>
      <c r="CD12" s="148">
        <f t="shared" ref="CD12:CD50" si="39">IF(CC12&gt;$BJ$6,1,0)</f>
        <v>0</v>
      </c>
      <c r="CE12" s="97"/>
      <c r="CF12" s="154">
        <f t="shared" ref="CF12:CF50" si="40">BH12*$BJ$6</f>
        <v>757234.5</v>
      </c>
      <c r="CG12" s="189">
        <f t="shared" ref="CG12:CG50" si="41">IF(CB12&gt;CF12,CB12-CF12,0)</f>
        <v>0</v>
      </c>
      <c r="CH12" s="266">
        <f t="shared" ref="CH12:CH50" si="42">CB12-CG12</f>
        <v>571615.73892652814</v>
      </c>
      <c r="CI12" s="155">
        <f t="shared" ref="CI12:CI50" si="43">CH12/BT12</f>
        <v>0.22646184461743152</v>
      </c>
      <c r="CJ12" s="276">
        <f>VLOOKUP(B12,'[5]Allocation Calculations'!$B$12:$CM$49, 90, FALSE)</f>
        <v>554807.21070635587</v>
      </c>
      <c r="CK12" s="277">
        <f t="shared" ref="CK12:CK50" si="44">(CH12-CJ12)/CJ12</f>
        <v>3.02961603523004E-2</v>
      </c>
      <c r="CL12" s="278">
        <f>CK12/$CK$51</f>
        <v>0.33385001376883378</v>
      </c>
      <c r="CM12" s="279">
        <f>'Ridership'!L2</f>
        <v>4.4945713666674693E-2</v>
      </c>
      <c r="CN12" s="278">
        <f>IF(CL12&lt;0,CK12/CM12, 0)</f>
        <v>0</v>
      </c>
      <c r="CO12" s="280"/>
    </row>
    <row r="13" spans="1:94">
      <c r="A13" s="71" t="s">
        <v>74</v>
      </c>
      <c r="B13" s="240" t="s">
        <v>76</v>
      </c>
      <c r="C13" s="27"/>
      <c r="D13" s="70">
        <f>'Op Cost - Performance'!E3</f>
        <v>420188</v>
      </c>
      <c r="E13" s="175">
        <f>'Ridership'!$E3</f>
        <v>43130</v>
      </c>
      <c r="F13" s="175">
        <f>'Revenue Hours - Sizing'!E3</f>
        <v>7578</v>
      </c>
      <c r="G13" s="175">
        <f>'Revenue Miles - Sizing'!E3</f>
        <v>90570</v>
      </c>
      <c r="H13" s="191">
        <f t="shared" ref="H13:H50" si="45">IFERROR($D$10*(D13/D$51),0) + IFERROR($E$10*(E13/E$51),0) + IFERROR($F$10*(F13/F$51),0) + IFERROR($G$10*(G13/G$51),0)</f>
        <v>8.3196634304082107E-4</v>
      </c>
      <c r="I13" s="110">
        <f t="shared" si="0"/>
        <v>8.3196634304082107E-4</v>
      </c>
      <c r="J13" s="111"/>
      <c r="K13" s="112">
        <f>'Ridership'!B3/'Revenue Hours'!B3</f>
        <v>4.8354101054361225</v>
      </c>
      <c r="L13" s="177">
        <f>'Ridership'!C3/'Revenue Hours'!C3</f>
        <v>5.5493279229013446</v>
      </c>
      <c r="M13" s="177">
        <f>'Ridership'!D3/'Revenue Hours'!D3</f>
        <v>5.6378698224852073</v>
      </c>
      <c r="N13" s="177">
        <f>'Ridership'!E3/'Revenue Hours'!E3</f>
        <v>5.6914753233043021</v>
      </c>
      <c r="O13" s="178">
        <f t="shared" si="1"/>
        <v>0.95568272314005676</v>
      </c>
      <c r="P13" s="179">
        <f t="shared" si="2"/>
        <v>7.9509586027812652E-4</v>
      </c>
      <c r="Q13" s="113">
        <f t="shared" si="3"/>
        <v>7.8716308242528427E-4</v>
      </c>
      <c r="R13" s="114">
        <f>'Ridership'!B3/'Revenue Miles'!B3</f>
        <v>0.41985803797543603</v>
      </c>
      <c r="S13" s="177">
        <f>'Ridership'!C3/'Revenue Miles'!C3</f>
        <v>0.46390976646560589</v>
      </c>
      <c r="T13" s="177">
        <f>'Ridership'!D3/'Revenue Miles'!D3</f>
        <v>0.46872847725558364</v>
      </c>
      <c r="U13" s="177">
        <f>'Ridership'!E3/'Revenue Miles'!E3</f>
        <v>0.476206249309926</v>
      </c>
      <c r="V13" s="178">
        <f t="shared" si="4"/>
        <v>0.94123379146902819</v>
      </c>
      <c r="W13" s="179">
        <f t="shared" si="5"/>
        <v>7.8307483543493415E-4</v>
      </c>
      <c r="X13" s="113">
        <f t="shared" si="6"/>
        <v>7.7391475486429976E-4</v>
      </c>
      <c r="Y13" s="262">
        <f>'Op Cost - Performance'!B3/'Revenue Hours'!B3</f>
        <v>62.039983568396551</v>
      </c>
      <c r="Z13" s="263">
        <f>'Op Cost - Performance'!C3/'Revenue Hours'!C3</f>
        <v>50.572406796855184</v>
      </c>
      <c r="AA13" s="263">
        <f>'Op Cost - Performance'!D3/'Revenue Hours'!D3</f>
        <v>47.540828402366863</v>
      </c>
      <c r="AB13" s="263">
        <f>'Op Cost - Performance'!E3/'Revenue Hours'!E3</f>
        <v>55.448403272631303</v>
      </c>
      <c r="AC13" s="178">
        <f t="shared" si="7"/>
        <v>0.91348234924556271</v>
      </c>
      <c r="AD13" s="179">
        <f t="shared" si="8"/>
        <v>9.1076345780291763E-4</v>
      </c>
      <c r="AE13" s="113">
        <f t="shared" si="9"/>
        <v>9.080779952371392E-4</v>
      </c>
      <c r="AF13" s="262">
        <f>'Op Cost - Performance'!B3/'Revenue Miles'!B3</f>
        <v>5.3869237994459436</v>
      </c>
      <c r="AG13" s="263">
        <f>'Op Cost - Performance'!C3/'Revenue Miles'!C3</f>
        <v>4.2277251863080787</v>
      </c>
      <c r="AH13" s="263">
        <f>'Op Cost - Performance'!D3/'Revenue Miles'!D3</f>
        <v>3.9525105768915418</v>
      </c>
      <c r="AI13" s="263">
        <f>'Op Cost - Performance'!E3/'Revenue Miles'!E3</f>
        <v>4.639372860770675</v>
      </c>
      <c r="AJ13" s="178">
        <f t="shared" si="10"/>
        <v>0.90241870563701776</v>
      </c>
      <c r="AK13" s="179">
        <f t="shared" si="11"/>
        <v>9.2192940798311099E-4</v>
      </c>
      <c r="AL13" s="113">
        <f t="shared" si="12"/>
        <v>9.2096413925142899E-4</v>
      </c>
      <c r="AM13" s="262">
        <f>'Op Cost - Performance'!B3/'Ridership'!B3</f>
        <v>12.830345765015716</v>
      </c>
      <c r="AN13" s="263">
        <f>'Op Cost - Performance'!C3/'Ridership'!C3</f>
        <v>9.1132489374343031</v>
      </c>
      <c r="AO13" s="263">
        <f>'Op Cost - Performance'!D3/'Ridership'!D3</f>
        <v>8.4324097397145259</v>
      </c>
      <c r="AP13" s="263">
        <f>'Op Cost - Performance'!E3/'Ridership'!E3</f>
        <v>9.7423603060514719</v>
      </c>
      <c r="AQ13" s="264">
        <f t="shared" si="13"/>
        <v>0.95711129718071264</v>
      </c>
      <c r="AR13" s="179">
        <f t="shared" si="14"/>
        <v>8.6924722912735323E-4</v>
      </c>
      <c r="AS13" s="115">
        <f t="shared" si="15"/>
        <v>8.6622030994714869E-4</v>
      </c>
      <c r="AT13" s="111"/>
      <c r="AU13" s="116">
        <f t="shared" si="16"/>
        <v>1.5743261648505687E-4</v>
      </c>
      <c r="AV13" s="180">
        <f t="shared" si="17"/>
        <v>1.5478295097285996E-4</v>
      </c>
      <c r="AW13" s="180">
        <f t="shared" si="18"/>
        <v>1.8161559904742786E-4</v>
      </c>
      <c r="AX13" s="180">
        <f t="shared" si="19"/>
        <v>1.8419282785028581E-4</v>
      </c>
      <c r="AY13" s="117">
        <f t="shared" si="20"/>
        <v>1.7324406198942975E-4</v>
      </c>
      <c r="AZ13" s="111"/>
      <c r="BA13" s="118">
        <f t="shared" si="21"/>
        <v>21851.676765457792</v>
      </c>
      <c r="BB13" s="181">
        <f t="shared" si="22"/>
        <v>21483.902694227745</v>
      </c>
      <c r="BC13" s="181">
        <f t="shared" si="23"/>
        <v>25208.27929151561</v>
      </c>
      <c r="BD13" s="181">
        <f t="shared" si="24"/>
        <v>25565.999133871308</v>
      </c>
      <c r="BE13" s="181">
        <f t="shared" si="25"/>
        <v>24046.308374016502</v>
      </c>
      <c r="BF13" s="119">
        <f t="shared" si="26"/>
        <v>118156.16625908898</v>
      </c>
      <c r="BH13" s="257">
        <f>'Op Cost - Performance'!E3</f>
        <v>420188</v>
      </c>
      <c r="BI13" s="182">
        <f t="shared" si="27"/>
        <v>0.28119833564758862</v>
      </c>
      <c r="BJ13" s="183">
        <f t="shared" si="28"/>
        <v>118156.16625908898</v>
      </c>
      <c r="BK13" s="138">
        <f t="shared" si="29"/>
        <v>0</v>
      </c>
      <c r="BM13" s="52">
        <f t="shared" si="30"/>
        <v>118156.16625908898</v>
      </c>
      <c r="BN13" s="184">
        <f t="shared" si="31"/>
        <v>9.7586582306957779E-4</v>
      </c>
      <c r="BO13" s="259">
        <f t="shared" si="32"/>
        <v>1597.3292262563207</v>
      </c>
      <c r="BP13" s="259">
        <f t="shared" ref="BP13:BP50" si="46">(BO13+BJ13)</f>
        <v>119753.49548534529</v>
      </c>
      <c r="BQ13" s="185">
        <f t="shared" ref="BQ13:BQ49" si="47">BP13/BH13</f>
        <v>0.28499979886466364</v>
      </c>
      <c r="BR13" s="142">
        <f t="shared" si="33"/>
        <v>0</v>
      </c>
      <c r="BS13" s="11"/>
      <c r="BT13" s="256">
        <f t="shared" si="34"/>
        <v>420188</v>
      </c>
      <c r="BU13" s="186">
        <f t="shared" ref="BU13:BU50" si="48">BP13/BT13</f>
        <v>0.28499979886466364</v>
      </c>
      <c r="BV13" s="187">
        <f t="shared" si="35"/>
        <v>119753.49548534529</v>
      </c>
      <c r="BW13" s="143">
        <f t="shared" si="36"/>
        <v>0</v>
      </c>
      <c r="BY13" s="52">
        <f t="shared" ref="BY13:BY50" si="49">IF(OR(BW13&gt;0,BU13&gt;=$BJ$6),0,BV13)</f>
        <v>119753.49548534529</v>
      </c>
      <c r="BZ13" s="188">
        <f t="shared" si="37"/>
        <v>9.7586582306957801E-4</v>
      </c>
      <c r="CA13" s="189">
        <f t="shared" si="38"/>
        <v>0</v>
      </c>
      <c r="CB13" s="147">
        <f t="shared" ref="CB13:CB50" si="50">(CA13+BV13)</f>
        <v>119753.49548534529</v>
      </c>
      <c r="CC13" s="190">
        <f t="shared" ref="CC13:CC50" si="51">CB13/BT13</f>
        <v>0.28499979886466364</v>
      </c>
      <c r="CD13" s="148">
        <f t="shared" si="39"/>
        <v>0</v>
      </c>
      <c r="CE13" s="97"/>
      <c r="CF13" s="154">
        <f t="shared" si="40"/>
        <v>126056.4</v>
      </c>
      <c r="CG13" s="189">
        <f t="shared" si="41"/>
        <v>0</v>
      </c>
      <c r="CH13" s="266">
        <f t="shared" si="42"/>
        <v>119753.49548534529</v>
      </c>
      <c r="CI13" s="155">
        <f t="shared" si="43"/>
        <v>0.28499979886466364</v>
      </c>
      <c r="CJ13" s="276">
        <f>VLOOKUP(B13,'[5]Allocation Calculations'!$B$12:$CM$49, 90, FALSE)</f>
        <v>108464.4</v>
      </c>
      <c r="CK13" s="277">
        <f t="shared" si="44"/>
        <v>0.10408111311495109</v>
      </c>
      <c r="CL13" s="278">
        <f t="shared" ref="CL13:CL50" si="52">CK13/$CK$51</f>
        <v>1.1469268924655522</v>
      </c>
      <c r="CM13" s="279">
        <f>'Ridership'!L3</f>
        <v>5.924060080231365E-3</v>
      </c>
      <c r="CN13" s="278">
        <f t="shared" ref="CN13:CN50" si="53">IF(CL13&lt;0,CK13/CM13, 0)</f>
        <v>0</v>
      </c>
      <c r="CO13" s="280"/>
    </row>
    <row r="14" spans="1:94">
      <c r="A14" s="71" t="s">
        <v>74</v>
      </c>
      <c r="B14" s="240" t="s">
        <v>77</v>
      </c>
      <c r="C14" s="27"/>
      <c r="D14" s="70">
        <f>'Op Cost - Performance'!E4</f>
        <v>3065339</v>
      </c>
      <c r="E14" s="175">
        <f>'Ridership'!$E4</f>
        <v>180698</v>
      </c>
      <c r="F14" s="175">
        <f>'Revenue Hours - Sizing'!E4</f>
        <v>42313</v>
      </c>
      <c r="G14" s="175">
        <f>'Revenue Miles - Sizing'!E4</f>
        <v>474357</v>
      </c>
      <c r="H14" s="176">
        <f t="shared" si="45"/>
        <v>4.8465781262753095E-3</v>
      </c>
      <c r="I14" s="110">
        <f t="shared" si="0"/>
        <v>4.8465781262753095E-3</v>
      </c>
      <c r="J14" s="111"/>
      <c r="K14" s="112">
        <f>'Ridership'!B4/'Revenue Hours'!B4</f>
        <v>3.0190503841343577</v>
      </c>
      <c r="L14" s="177">
        <f>'Ridership'!C4/'Revenue Hours'!C4</f>
        <v>3.4820277878872212</v>
      </c>
      <c r="M14" s="177">
        <f>'Ridership'!D4/'Revenue Hours'!D4</f>
        <v>3.6780878638565691</v>
      </c>
      <c r="N14" s="177">
        <f>'Ridership'!E4/'Revenue Hours'!E4</f>
        <v>4.2705078817384727</v>
      </c>
      <c r="O14" s="178">
        <f t="shared" si="1"/>
        <v>1.0173796682347109</v>
      </c>
      <c r="P14" s="179">
        <f t="shared" si="2"/>
        <v>4.9308100461835811E-3</v>
      </c>
      <c r="Q14" s="113">
        <f t="shared" si="3"/>
        <v>4.881614694169983E-3</v>
      </c>
      <c r="R14" s="114">
        <f>'Ridership'!B4/'Revenue Miles'!B4</f>
        <v>0.30702858129224508</v>
      </c>
      <c r="S14" s="177">
        <f>'Ridership'!C4/'Revenue Miles'!C4</f>
        <v>0.33183650652455993</v>
      </c>
      <c r="T14" s="177">
        <f>'Ridership'!D4/'Revenue Miles'!D4</f>
        <v>0.34030770763177753</v>
      </c>
      <c r="U14" s="177">
        <f>'Ridership'!E4/'Revenue Miles'!E4</f>
        <v>0.38093250442177518</v>
      </c>
      <c r="V14" s="178">
        <f t="shared" si="4"/>
        <v>0.97155618336980731</v>
      </c>
      <c r="W14" s="179">
        <f t="shared" si="5"/>
        <v>4.7087229467676316E-3</v>
      </c>
      <c r="X14" s="113">
        <f t="shared" si="6"/>
        <v>4.6536422831766093E-3</v>
      </c>
      <c r="Y14" s="262">
        <f>'Op Cost - Performance'!B4/'Revenue Hours'!B4</f>
        <v>58.62645167053779</v>
      </c>
      <c r="Z14" s="263">
        <f>'Op Cost - Performance'!C4/'Revenue Hours'!C4</f>
        <v>57.842499625355913</v>
      </c>
      <c r="AA14" s="263">
        <f>'Op Cost - Performance'!D4/'Revenue Hours'!D4</f>
        <v>62.071922487681668</v>
      </c>
      <c r="AB14" s="263">
        <f>'Op Cost - Performance'!E4/'Revenue Hours'!E4</f>
        <v>72.444378796114663</v>
      </c>
      <c r="AC14" s="178">
        <f t="shared" si="7"/>
        <v>1.0088651199020127</v>
      </c>
      <c r="AD14" s="179">
        <f t="shared" si="8"/>
        <v>4.8039901773450546E-3</v>
      </c>
      <c r="AE14" s="113">
        <f t="shared" si="9"/>
        <v>4.7898252087386628E-3</v>
      </c>
      <c r="AF14" s="262">
        <f>'Op Cost - Performance'!B4/'Revenue Miles'!B4</f>
        <v>5.9621384184897162</v>
      </c>
      <c r="AG14" s="263">
        <f>'Op Cost - Performance'!C4/'Revenue Miles'!C4</f>
        <v>5.5123778940238459</v>
      </c>
      <c r="AH14" s="263">
        <f>'Op Cost - Performance'!D4/'Revenue Miles'!D4</f>
        <v>5.7430802177552511</v>
      </c>
      <c r="AI14" s="263">
        <f>'Op Cost - Performance'!E4/'Revenue Miles'!E4</f>
        <v>6.4620928962785413</v>
      </c>
      <c r="AJ14" s="178">
        <f t="shared" si="10"/>
        <v>0.96412947809901206</v>
      </c>
      <c r="AK14" s="179">
        <f t="shared" si="11"/>
        <v>5.0268954910821489E-3</v>
      </c>
      <c r="AL14" s="113">
        <f t="shared" si="12"/>
        <v>5.0216322843843718E-3</v>
      </c>
      <c r="AM14" s="262">
        <f>'Op Cost - Performance'!B4/'Ridership'!B4</f>
        <v>19.418838446231348</v>
      </c>
      <c r="AN14" s="263">
        <f>'Op Cost - Performance'!C4/'Ridership'!C4</f>
        <v>16.611728322953109</v>
      </c>
      <c r="AO14" s="263">
        <f>'Op Cost - Performance'!D4/'Ridership'!D4</f>
        <v>16.876139120449849</v>
      </c>
      <c r="AP14" s="263">
        <f>'Op Cost - Performance'!E4/'Ridership'!E4</f>
        <v>16.963878958261851</v>
      </c>
      <c r="AQ14" s="264">
        <f t="shared" si="13"/>
        <v>0.99126332306114173</v>
      </c>
      <c r="AR14" s="179">
        <f t="shared" si="14"/>
        <v>4.8892943111306557E-3</v>
      </c>
      <c r="AS14" s="115">
        <f t="shared" si="15"/>
        <v>4.872268661543157E-3</v>
      </c>
      <c r="AT14" s="111"/>
      <c r="AU14" s="116">
        <f t="shared" si="16"/>
        <v>9.7632293883399661E-4</v>
      </c>
      <c r="AV14" s="180">
        <f t="shared" si="17"/>
        <v>9.3072845663532192E-4</v>
      </c>
      <c r="AW14" s="180">
        <f t="shared" si="18"/>
        <v>9.5796504174773262E-4</v>
      </c>
      <c r="AX14" s="180">
        <f t="shared" si="19"/>
        <v>1.0043264568768745E-3</v>
      </c>
      <c r="AY14" s="117">
        <f t="shared" si="20"/>
        <v>9.7445373230863139E-4</v>
      </c>
      <c r="AZ14" s="111"/>
      <c r="BA14" s="118">
        <f t="shared" si="21"/>
        <v>135513.80745887122</v>
      </c>
      <c r="BB14" s="181">
        <f t="shared" si="22"/>
        <v>129185.28475793253</v>
      </c>
      <c r="BC14" s="181">
        <f t="shared" si="23"/>
        <v>132965.72789201315</v>
      </c>
      <c r="BD14" s="181">
        <f t="shared" si="24"/>
        <v>139400.70102788406</v>
      </c>
      <c r="BE14" s="181">
        <f t="shared" si="25"/>
        <v>135254.36124173971</v>
      </c>
      <c r="BF14" s="119">
        <f t="shared" si="26"/>
        <v>672319.8823784407</v>
      </c>
      <c r="BH14" s="257">
        <f>'Op Cost - Performance'!E4</f>
        <v>3065339</v>
      </c>
      <c r="BI14" s="182">
        <f t="shared" si="27"/>
        <v>0.21932969970970281</v>
      </c>
      <c r="BJ14" s="183">
        <f t="shared" si="28"/>
        <v>672319.8823784407</v>
      </c>
      <c r="BK14" s="138">
        <f t="shared" si="29"/>
        <v>0</v>
      </c>
      <c r="BM14" s="52">
        <f t="shared" si="30"/>
        <v>672319.8823784407</v>
      </c>
      <c r="BN14" s="184">
        <f t="shared" si="31"/>
        <v>5.5527698312808939E-3</v>
      </c>
      <c r="BO14" s="259">
        <f t="shared" si="32"/>
        <v>9088.9560106532808</v>
      </c>
      <c r="BP14" s="259">
        <f t="shared" si="46"/>
        <v>681408.83838909399</v>
      </c>
      <c r="BQ14" s="185">
        <f t="shared" si="47"/>
        <v>0.22229477339670881</v>
      </c>
      <c r="BR14" s="142">
        <f t="shared" si="33"/>
        <v>0</v>
      </c>
      <c r="BS14" s="11"/>
      <c r="BT14" s="256">
        <f t="shared" si="34"/>
        <v>3065339</v>
      </c>
      <c r="BU14" s="186">
        <f t="shared" si="48"/>
        <v>0.22229477339670881</v>
      </c>
      <c r="BV14" s="187">
        <f t="shared" si="35"/>
        <v>681408.83838909399</v>
      </c>
      <c r="BW14" s="143">
        <f t="shared" si="36"/>
        <v>0</v>
      </c>
      <c r="BY14" s="52">
        <f t="shared" si="49"/>
        <v>681408.83838909399</v>
      </c>
      <c r="BZ14" s="188">
        <f t="shared" si="37"/>
        <v>5.5527698312808956E-3</v>
      </c>
      <c r="CA14" s="189">
        <f t="shared" si="38"/>
        <v>0</v>
      </c>
      <c r="CB14" s="147">
        <f t="shared" si="50"/>
        <v>681408.83838909399</v>
      </c>
      <c r="CC14" s="190">
        <f t="shared" si="51"/>
        <v>0.22229477339670881</v>
      </c>
      <c r="CD14" s="148">
        <f t="shared" si="39"/>
        <v>0</v>
      </c>
      <c r="CE14" s="97"/>
      <c r="CF14" s="154">
        <f t="shared" si="40"/>
        <v>919601.7</v>
      </c>
      <c r="CG14" s="189">
        <f t="shared" si="41"/>
        <v>0</v>
      </c>
      <c r="CH14" s="266">
        <f t="shared" si="42"/>
        <v>681408.83838909399</v>
      </c>
      <c r="CI14" s="155">
        <f t="shared" si="43"/>
        <v>0.22229477339670881</v>
      </c>
      <c r="CJ14" s="276">
        <f>VLOOKUP(B14,'[5]Allocation Calculations'!$B$12:$CM$49, 90, FALSE)</f>
        <v>681012.57966416562</v>
      </c>
      <c r="CK14" s="277">
        <f t="shared" si="44"/>
        <v>5.8186696804305555E-4</v>
      </c>
      <c r="CL14" s="278">
        <f t="shared" si="52"/>
        <v>6.4119113786659668E-3</v>
      </c>
      <c r="CM14" s="279">
        <f>'Ridership'!L4</f>
        <v>1.7105803815174014E-2</v>
      </c>
      <c r="CN14" s="278">
        <f t="shared" si="53"/>
        <v>0</v>
      </c>
      <c r="CO14" s="280"/>
    </row>
    <row r="15" spans="1:94">
      <c r="A15" s="71" t="s">
        <v>74</v>
      </c>
      <c r="B15" s="240" t="s">
        <v>78</v>
      </c>
      <c r="C15" s="27"/>
      <c r="D15" s="70">
        <f>'Op Cost - Performance'!E5</f>
        <v>2152505</v>
      </c>
      <c r="E15" s="175">
        <f>'Ridership'!$E5</f>
        <v>130587</v>
      </c>
      <c r="F15" s="175">
        <f>'Revenue Hours - Sizing'!E5</f>
        <v>43806</v>
      </c>
      <c r="G15" s="175">
        <f>'Revenue Miles - Sizing'!E5</f>
        <v>726302</v>
      </c>
      <c r="H15" s="176">
        <f t="shared" si="45"/>
        <v>4.2850512496163829E-3</v>
      </c>
      <c r="I15" s="110">
        <f t="shared" si="0"/>
        <v>4.2850512496163829E-3</v>
      </c>
      <c r="J15" s="111"/>
      <c r="K15" s="112">
        <f>'Ridership'!B5/'Revenue Hours'!B5</f>
        <v>2.5156324194636741</v>
      </c>
      <c r="L15" s="177">
        <f>'Ridership'!C5/'Revenue Hours'!C5</f>
        <v>2.7827345119658662</v>
      </c>
      <c r="M15" s="177">
        <f>'Ridership'!D5/'Revenue Hours'!D5</f>
        <v>2.9639290809048298</v>
      </c>
      <c r="N15" s="177">
        <f>'Ridership'!E5/'Revenue Hours'!E5</f>
        <v>2.9810299958909741</v>
      </c>
      <c r="O15" s="178">
        <f t="shared" si="1"/>
        <v>0.95810883044868023</v>
      </c>
      <c r="P15" s="179">
        <f t="shared" si="2"/>
        <v>4.1055454411826082E-3</v>
      </c>
      <c r="Q15" s="113">
        <f t="shared" si="3"/>
        <v>4.0645838646272249E-3</v>
      </c>
      <c r="R15" s="114">
        <f>'Ridership'!B5/'Revenue Miles'!B5</f>
        <v>0.15736959607772016</v>
      </c>
      <c r="S15" s="177">
        <f>'Ridership'!C5/'Revenue Miles'!C5</f>
        <v>0.16460220997236286</v>
      </c>
      <c r="T15" s="177">
        <f>'Ridership'!D5/'Revenue Miles'!D5</f>
        <v>0.17559609249863839</v>
      </c>
      <c r="U15" s="177">
        <f>'Ridership'!E5/'Revenue Miles'!E5</f>
        <v>0.17979710919149336</v>
      </c>
      <c r="V15" s="178">
        <f t="shared" si="4"/>
        <v>0.94466806543605675</v>
      </c>
      <c r="W15" s="179">
        <f t="shared" si="5"/>
        <v>4.0479510742694657E-3</v>
      </c>
      <c r="X15" s="113">
        <f t="shared" si="6"/>
        <v>4.0005998425500866E-3</v>
      </c>
      <c r="Y15" s="262">
        <f>'Op Cost - Performance'!B5/'Revenue Hours'!B5</f>
        <v>54.154224876915002</v>
      </c>
      <c r="Z15" s="263">
        <f>'Op Cost - Performance'!C5/'Revenue Hours'!C5</f>
        <v>45.459899034704179</v>
      </c>
      <c r="AA15" s="263">
        <f>'Op Cost - Performance'!D5/'Revenue Hours'!D5</f>
        <v>48.817313135430112</v>
      </c>
      <c r="AB15" s="263">
        <f>'Op Cost - Performance'!E5/'Revenue Hours'!E5</f>
        <v>49.137218645847604</v>
      </c>
      <c r="AC15" s="178">
        <f t="shared" si="7"/>
        <v>0.91423099191443613</v>
      </c>
      <c r="AD15" s="179">
        <f t="shared" si="8"/>
        <v>4.6870553366860981E-3</v>
      </c>
      <c r="AE15" s="113">
        <f t="shared" si="9"/>
        <v>4.6732351602807266E-3</v>
      </c>
      <c r="AF15" s="262">
        <f>'Op Cost - Performance'!B5/'Revenue Miles'!B5</f>
        <v>3.3877081678725758</v>
      </c>
      <c r="AG15" s="263">
        <f>'Op Cost - Performance'!C5/'Revenue Miles'!C5</f>
        <v>2.689009610531103</v>
      </c>
      <c r="AH15" s="263">
        <f>'Op Cost - Performance'!D5/'Revenue Miles'!D5</f>
        <v>2.8921506550511245</v>
      </c>
      <c r="AI15" s="263">
        <f>'Op Cost - Performance'!E5/'Revenue Miles'!E5</f>
        <v>2.9636501069802921</v>
      </c>
      <c r="AJ15" s="178">
        <f t="shared" si="10"/>
        <v>0.90392809760680848</v>
      </c>
      <c r="AK15" s="179">
        <f t="shared" si="11"/>
        <v>4.7404779881953605E-3</v>
      </c>
      <c r="AL15" s="113">
        <f t="shared" si="12"/>
        <v>4.7355146633077834E-3</v>
      </c>
      <c r="AM15" s="262">
        <f>'Op Cost - Performance'!B5/'Ridership'!B5</f>
        <v>21.527081801744522</v>
      </c>
      <c r="AN15" s="263">
        <f>'Op Cost - Performance'!C5/'Ridership'!C5</f>
        <v>16.33641256081917</v>
      </c>
      <c r="AO15" s="263">
        <f>'Op Cost - Performance'!D5/'Ridership'!D5</f>
        <v>16.470472741718616</v>
      </c>
      <c r="AP15" s="263">
        <f>'Op Cost - Performance'!E5/'Ridership'!E5</f>
        <v>16.483302319526445</v>
      </c>
      <c r="AQ15" s="264">
        <f t="shared" si="13"/>
        <v>0.95221765419397153</v>
      </c>
      <c r="AR15" s="179">
        <f t="shared" si="14"/>
        <v>4.50007540896054E-3</v>
      </c>
      <c r="AS15" s="115">
        <f t="shared" si="15"/>
        <v>4.4844051092905318E-3</v>
      </c>
      <c r="AT15" s="111"/>
      <c r="AU15" s="116">
        <f t="shared" si="16"/>
        <v>8.1291677292544501E-4</v>
      </c>
      <c r="AV15" s="180">
        <f t="shared" si="17"/>
        <v>8.0011996851001737E-4</v>
      </c>
      <c r="AW15" s="180">
        <f t="shared" si="18"/>
        <v>9.3464703205614532E-4</v>
      </c>
      <c r="AX15" s="180">
        <f t="shared" si="19"/>
        <v>9.4710293266155672E-4</v>
      </c>
      <c r="AY15" s="117">
        <f t="shared" si="20"/>
        <v>8.9688102185810645E-4</v>
      </c>
      <c r="AZ15" s="111"/>
      <c r="BA15" s="118">
        <f t="shared" si="21"/>
        <v>112833.00091040508</v>
      </c>
      <c r="BB15" s="181">
        <f t="shared" si="22"/>
        <v>111056.8020517445</v>
      </c>
      <c r="BC15" s="181">
        <f t="shared" si="23"/>
        <v>129729.18376303499</v>
      </c>
      <c r="BD15" s="181">
        <f t="shared" si="24"/>
        <v>131458.06510877542</v>
      </c>
      <c r="BE15" s="181">
        <f t="shared" si="25"/>
        <v>124487.25444753729</v>
      </c>
      <c r="BF15" s="119">
        <f t="shared" si="26"/>
        <v>609564.30628149724</v>
      </c>
      <c r="BH15" s="257">
        <f>'Op Cost - Performance'!E5</f>
        <v>2152505</v>
      </c>
      <c r="BI15" s="182">
        <f t="shared" si="27"/>
        <v>0.28318833465264759</v>
      </c>
      <c r="BJ15" s="183">
        <f t="shared" si="28"/>
        <v>609564.30628149724</v>
      </c>
      <c r="BK15" s="138">
        <f t="shared" si="29"/>
        <v>0</v>
      </c>
      <c r="BM15" s="52">
        <f t="shared" si="30"/>
        <v>609564.30628149724</v>
      </c>
      <c r="BN15" s="184">
        <f t="shared" si="31"/>
        <v>5.0344640681625986E-3</v>
      </c>
      <c r="BO15" s="259">
        <f t="shared" si="32"/>
        <v>8240.5761166205448</v>
      </c>
      <c r="BP15" s="259">
        <f t="shared" si="46"/>
        <v>617804.8823981178</v>
      </c>
      <c r="BQ15" s="185">
        <f t="shared" si="47"/>
        <v>0.2870167002623073</v>
      </c>
      <c r="BR15" s="142">
        <f t="shared" si="33"/>
        <v>0</v>
      </c>
      <c r="BS15" s="11"/>
      <c r="BT15" s="256">
        <f t="shared" si="34"/>
        <v>2152505</v>
      </c>
      <c r="BU15" s="186">
        <f t="shared" si="48"/>
        <v>0.2870167002623073</v>
      </c>
      <c r="BV15" s="187">
        <f t="shared" si="35"/>
        <v>617804.8823981178</v>
      </c>
      <c r="BW15" s="143">
        <f t="shared" si="36"/>
        <v>0</v>
      </c>
      <c r="BY15" s="52">
        <f t="shared" si="49"/>
        <v>617804.8823981178</v>
      </c>
      <c r="BZ15" s="188">
        <f t="shared" si="37"/>
        <v>5.0344640681626003E-3</v>
      </c>
      <c r="CA15" s="189">
        <f t="shared" si="38"/>
        <v>0</v>
      </c>
      <c r="CB15" s="147">
        <f t="shared" si="50"/>
        <v>617804.8823981178</v>
      </c>
      <c r="CC15" s="190">
        <f t="shared" si="51"/>
        <v>0.2870167002623073</v>
      </c>
      <c r="CD15" s="148">
        <f t="shared" si="39"/>
        <v>0</v>
      </c>
      <c r="CE15" s="97"/>
      <c r="CF15" s="154">
        <f t="shared" si="40"/>
        <v>645751.5</v>
      </c>
      <c r="CG15" s="189">
        <f t="shared" si="41"/>
        <v>0</v>
      </c>
      <c r="CH15" s="266">
        <f t="shared" si="42"/>
        <v>617804.8823981178</v>
      </c>
      <c r="CI15" s="155">
        <f t="shared" si="43"/>
        <v>0.2870167002623073</v>
      </c>
      <c r="CJ15" s="276">
        <f>VLOOKUP(B15,'[5]Allocation Calculations'!$B$12:$CM$49, 90, FALSE)</f>
        <v>632074.60517037171</v>
      </c>
      <c r="CK15" s="277">
        <f t="shared" si="44"/>
        <v>-2.2576010261332359E-2</v>
      </c>
      <c r="CL15" s="278">
        <f t="shared" si="52"/>
        <v>-0.24877744403735483</v>
      </c>
      <c r="CM15" s="279">
        <f>'Ridership'!L5</f>
        <v>-2.3606527319398607E-3</v>
      </c>
      <c r="CN15" s="278">
        <f t="shared" si="53"/>
        <v>9.5634609681791591</v>
      </c>
      <c r="CO15" s="281">
        <f>CJ15-CH15</f>
        <v>14269.72277225391</v>
      </c>
      <c r="CP15" s="273"/>
    </row>
    <row r="16" spans="1:94">
      <c r="A16" s="71" t="s">
        <v>74</v>
      </c>
      <c r="B16" s="240" t="s">
        <v>79</v>
      </c>
      <c r="C16" s="27"/>
      <c r="D16" s="70">
        <f>'Op Cost - Performance'!E6</f>
        <v>458740</v>
      </c>
      <c r="E16" s="175">
        <f>'Ridership'!$E6</f>
        <v>31857</v>
      </c>
      <c r="F16" s="175">
        <f>'Revenue Hours - Sizing'!E6</f>
        <v>7975</v>
      </c>
      <c r="G16" s="175">
        <f>'Revenue Miles - Sizing'!E6</f>
        <v>124910</v>
      </c>
      <c r="H16" s="176">
        <f t="shared" si="45"/>
        <v>8.6229541286258853E-4</v>
      </c>
      <c r="I16" s="110">
        <f t="shared" si="0"/>
        <v>8.6229541286258853E-4</v>
      </c>
      <c r="J16" s="111"/>
      <c r="K16" s="112">
        <f>'Ridership'!B6/'Revenue Hours'!B6</f>
        <v>3.650582779796967</v>
      </c>
      <c r="L16" s="177">
        <f>'Ridership'!C6/'Revenue Hours'!C6</f>
        <v>3.815299877600979</v>
      </c>
      <c r="M16" s="177">
        <f>'Ridership'!D6/'Revenue Hours'!D6</f>
        <v>4.0689275220372183</v>
      </c>
      <c r="N16" s="177">
        <f>'Ridership'!E6/'Revenue Hours'!E6</f>
        <v>3.9946081504702193</v>
      </c>
      <c r="O16" s="178">
        <f t="shared" si="1"/>
        <v>0.9337958988025955</v>
      </c>
      <c r="P16" s="179">
        <f t="shared" si="2"/>
        <v>8.0520792008737603E-4</v>
      </c>
      <c r="Q16" s="113">
        <f t="shared" si="3"/>
        <v>7.9717425285992006E-4</v>
      </c>
      <c r="R16" s="114">
        <f>'Ridership'!B6/'Revenue Miles'!B6</f>
        <v>0.22496138399752857</v>
      </c>
      <c r="S16" s="177">
        <f>'Ridership'!C6/'Revenue Miles'!C6</f>
        <v>0.23446890772737189</v>
      </c>
      <c r="T16" s="177">
        <f>'Ridership'!D6/'Revenue Miles'!D6</f>
        <v>0.2617547452154052</v>
      </c>
      <c r="U16" s="177">
        <f>'Ridership'!E6/'Revenue Miles'!E6</f>
        <v>0.25503962853254342</v>
      </c>
      <c r="V16" s="178">
        <f t="shared" si="4"/>
        <v>0.94346355155785799</v>
      </c>
      <c r="W16" s="179">
        <f t="shared" si="5"/>
        <v>8.1354429271138728E-4</v>
      </c>
      <c r="X16" s="113">
        <f t="shared" si="6"/>
        <v>8.0402779322525958E-4</v>
      </c>
      <c r="Y16" s="262">
        <f>'Op Cost - Performance'!B6/'Revenue Hours'!B6</f>
        <v>59.664118310565236</v>
      </c>
      <c r="Z16" s="263">
        <f>'Op Cost - Performance'!C6/'Revenue Hours'!C6</f>
        <v>55.822399020807836</v>
      </c>
      <c r="AA16" s="263">
        <f>'Op Cost - Performance'!D6/'Revenue Hours'!D6</f>
        <v>54.804725759059743</v>
      </c>
      <c r="AB16" s="263">
        <f>'Op Cost - Performance'!E6/'Revenue Hours'!E6</f>
        <v>57.522257053291533</v>
      </c>
      <c r="AC16" s="178">
        <f t="shared" si="7"/>
        <v>0.92741593906333508</v>
      </c>
      <c r="AD16" s="179">
        <f t="shared" si="8"/>
        <v>9.2978282617558138E-4</v>
      </c>
      <c r="AE16" s="113">
        <f t="shared" si="9"/>
        <v>9.2704128340439737E-4</v>
      </c>
      <c r="AF16" s="262">
        <f>'Op Cost - Performance'!B6/'Revenue Miles'!B6</f>
        <v>3.6767068273092369</v>
      </c>
      <c r="AG16" s="263">
        <f>'Op Cost - Performance'!C6/'Revenue Miles'!C6</f>
        <v>3.4305604657635227</v>
      </c>
      <c r="AH16" s="263">
        <f>'Op Cost - Performance'!D6/'Revenue Miles'!D6</f>
        <v>3.5255965976214854</v>
      </c>
      <c r="AI16" s="263">
        <f>'Op Cost - Performance'!E6/'Revenue Miles'!E6</f>
        <v>3.6725642462573052</v>
      </c>
      <c r="AJ16" s="178">
        <f t="shared" si="10"/>
        <v>0.93627299963173005</v>
      </c>
      <c r="AK16" s="179">
        <f t="shared" si="11"/>
        <v>9.2098716207960761E-4</v>
      </c>
      <c r="AL16" s="113">
        <f t="shared" si="12"/>
        <v>9.2002287988821854E-4</v>
      </c>
      <c r="AM16" s="262">
        <f>'Op Cost - Performance'!B6/'Ridership'!B6</f>
        <v>16.343724251579236</v>
      </c>
      <c r="AN16" s="263">
        <f>'Op Cost - Performance'!C6/'Ridership'!C6</f>
        <v>14.631195662635141</v>
      </c>
      <c r="AO16" s="263">
        <f>'Op Cost - Performance'!D6/'Ridership'!D6</f>
        <v>13.469083797201746</v>
      </c>
      <c r="AP16" s="263">
        <f>'Op Cost - Performance'!E6/'Ridership'!E6</f>
        <v>14.399974887779766</v>
      </c>
      <c r="AQ16" s="264">
        <f t="shared" si="13"/>
        <v>0.99390803361348856</v>
      </c>
      <c r="AR16" s="179">
        <f t="shared" si="14"/>
        <v>8.6758068523462442E-4</v>
      </c>
      <c r="AS16" s="115">
        <f t="shared" si="15"/>
        <v>8.6455956934432926E-4</v>
      </c>
      <c r="AT16" s="111"/>
      <c r="AU16" s="116">
        <f t="shared" si="16"/>
        <v>1.5943485057198401E-4</v>
      </c>
      <c r="AV16" s="180">
        <f t="shared" si="17"/>
        <v>1.6080555864505193E-4</v>
      </c>
      <c r="AW16" s="180">
        <f t="shared" si="18"/>
        <v>1.8540825668087948E-4</v>
      </c>
      <c r="AX16" s="180">
        <f t="shared" si="19"/>
        <v>1.8400457597764371E-4</v>
      </c>
      <c r="AY16" s="117">
        <f t="shared" si="20"/>
        <v>1.7291191386886587E-4</v>
      </c>
      <c r="AZ16" s="111"/>
      <c r="BA16" s="118">
        <f t="shared" si="21"/>
        <v>22129.587233143287</v>
      </c>
      <c r="BB16" s="181">
        <f t="shared" si="22"/>
        <v>22319.841771378233</v>
      </c>
      <c r="BC16" s="181">
        <f t="shared" si="23"/>
        <v>25734.700884058329</v>
      </c>
      <c r="BD16" s="181">
        <f t="shared" si="24"/>
        <v>25539.86973855723</v>
      </c>
      <c r="BE16" s="181">
        <f t="shared" si="25"/>
        <v>24000.20615243839</v>
      </c>
      <c r="BF16" s="119">
        <f t="shared" si="26"/>
        <v>119724.20577957547</v>
      </c>
      <c r="BH16" s="257">
        <f>'Op Cost - Performance'!E6</f>
        <v>458740</v>
      </c>
      <c r="BI16" s="182">
        <f t="shared" si="27"/>
        <v>0.26098488420363486</v>
      </c>
      <c r="BJ16" s="183">
        <f t="shared" si="28"/>
        <v>119724.20577957547</v>
      </c>
      <c r="BK16" s="138">
        <f t="shared" si="29"/>
        <v>0</v>
      </c>
      <c r="BM16" s="52">
        <f t="shared" si="30"/>
        <v>119724.20577957547</v>
      </c>
      <c r="BN16" s="184">
        <f t="shared" si="31"/>
        <v>9.8881644787158596E-4</v>
      </c>
      <c r="BO16" s="259">
        <f t="shared" si="32"/>
        <v>1618.5272342257551</v>
      </c>
      <c r="BP16" s="259">
        <f t="shared" si="46"/>
        <v>121342.73301380122</v>
      </c>
      <c r="BQ16" s="185">
        <f t="shared" si="47"/>
        <v>0.26451308587391814</v>
      </c>
      <c r="BR16" s="142">
        <f t="shared" si="33"/>
        <v>0</v>
      </c>
      <c r="BS16" s="11"/>
      <c r="BT16" s="256">
        <f t="shared" si="34"/>
        <v>458740</v>
      </c>
      <c r="BU16" s="186">
        <f t="shared" si="48"/>
        <v>0.26451308587391814</v>
      </c>
      <c r="BV16" s="187">
        <f t="shared" si="35"/>
        <v>121342.73301380122</v>
      </c>
      <c r="BW16" s="143">
        <f t="shared" si="36"/>
        <v>0</v>
      </c>
      <c r="BY16" s="52">
        <f t="shared" si="49"/>
        <v>121342.73301380122</v>
      </c>
      <c r="BZ16" s="188">
        <f t="shared" si="37"/>
        <v>9.8881644787158639E-4</v>
      </c>
      <c r="CA16" s="189">
        <f t="shared" si="38"/>
        <v>0</v>
      </c>
      <c r="CB16" s="147">
        <f t="shared" si="50"/>
        <v>121342.73301380122</v>
      </c>
      <c r="CC16" s="190">
        <f t="shared" si="51"/>
        <v>0.26451308587391814</v>
      </c>
      <c r="CD16" s="148">
        <f t="shared" si="39"/>
        <v>0</v>
      </c>
      <c r="CE16" s="97"/>
      <c r="CF16" s="154">
        <f t="shared" si="40"/>
        <v>137622</v>
      </c>
      <c r="CG16" s="189">
        <f t="shared" si="41"/>
        <v>0</v>
      </c>
      <c r="CH16" s="266">
        <f t="shared" si="42"/>
        <v>121342.73301380122</v>
      </c>
      <c r="CI16" s="155">
        <f t="shared" si="43"/>
        <v>0.26451308587391814</v>
      </c>
      <c r="CJ16" s="276">
        <f>VLOOKUP(B16,'[5]Allocation Calculations'!$B$12:$CM$49, 90, FALSE)</f>
        <v>109205.62416606396</v>
      </c>
      <c r="CK16" s="277">
        <f t="shared" si="44"/>
        <v>0.11113996133826323</v>
      </c>
      <c r="CL16" s="278">
        <f t="shared" si="52"/>
        <v>1.2247122140753228</v>
      </c>
      <c r="CM16" s="279">
        <f>'Ridership'!L6</f>
        <v>-4.1462313825786072E-2</v>
      </c>
      <c r="CN16" s="278">
        <f t="shared" si="53"/>
        <v>0</v>
      </c>
      <c r="CO16" s="280"/>
    </row>
    <row r="17" spans="1:93">
      <c r="A17" s="71" t="s">
        <v>80</v>
      </c>
      <c r="B17" s="240" t="s">
        <v>81</v>
      </c>
      <c r="C17" s="27"/>
      <c r="D17" s="70">
        <f>'Op Cost - Performance'!E7</f>
        <v>19397700</v>
      </c>
      <c r="E17" s="175">
        <f>'Ridership'!$E7</f>
        <v>1552117</v>
      </c>
      <c r="F17" s="175">
        <f>'Revenue Hours - Sizing'!E7</f>
        <v>144029</v>
      </c>
      <c r="G17" s="175">
        <f>'Revenue Miles - Sizing'!E7</f>
        <v>1616127</v>
      </c>
      <c r="H17" s="176">
        <f t="shared" si="45"/>
        <v>2.8198246404459462E-2</v>
      </c>
      <c r="I17" s="110">
        <f t="shared" si="0"/>
        <v>2.8198246404459462E-2</v>
      </c>
      <c r="J17" s="111"/>
      <c r="K17" s="112">
        <f>'Ridership'!B7/'Revenue Hours'!B7</f>
        <v>13.15305492915798</v>
      </c>
      <c r="L17" s="177">
        <f>'Ridership'!C7/'Revenue Hours'!C7</f>
        <v>10.956321576014718</v>
      </c>
      <c r="M17" s="177">
        <f>'Ridership'!D7/'Revenue Hours'!D7</f>
        <v>11.531822689331532</v>
      </c>
      <c r="N17" s="177">
        <f>'Ridership'!E7/'Revenue Hours'!E7</f>
        <v>10.776420026522436</v>
      </c>
      <c r="O17" s="178">
        <f t="shared" si="1"/>
        <v>0.85489386787456978</v>
      </c>
      <c r="P17" s="179">
        <f t="shared" si="2"/>
        <v>2.4106507935988529E-2</v>
      </c>
      <c r="Q17" s="113">
        <f t="shared" si="3"/>
        <v>2.3865994078707115E-2</v>
      </c>
      <c r="R17" s="114">
        <f>'Ridership'!B7/'Revenue Miles'!B7</f>
        <v>1.0437083935072138</v>
      </c>
      <c r="S17" s="177">
        <f>'Ridership'!C7/'Revenue Miles'!C7</f>
        <v>1.0015167534877283</v>
      </c>
      <c r="T17" s="177">
        <f>'Ridership'!D7/'Revenue Miles'!D7</f>
        <v>1.0699817065439858</v>
      </c>
      <c r="U17" s="177">
        <f>'Ridership'!E7/'Revenue Miles'!E7</f>
        <v>0.9603929641668012</v>
      </c>
      <c r="V17" s="178">
        <f t="shared" si="4"/>
        <v>0.88134667411737999</v>
      </c>
      <c r="W17" s="179">
        <f t="shared" si="5"/>
        <v>2.4852430684512716E-2</v>
      </c>
      <c r="X17" s="113">
        <f t="shared" si="6"/>
        <v>2.4561717387207225E-2</v>
      </c>
      <c r="Y17" s="262">
        <f>'Op Cost - Performance'!B7/'Revenue Hours'!B7</f>
        <v>137.78897374803216</v>
      </c>
      <c r="Z17" s="263">
        <f>'Op Cost - Performance'!C7/'Revenue Hours'!C7</f>
        <v>129.86446660739594</v>
      </c>
      <c r="AA17" s="263">
        <f>'Op Cost - Performance'!D7/'Revenue Hours'!D7</f>
        <v>113.07535781492788</v>
      </c>
      <c r="AB17" s="263">
        <f>'Op Cost - Performance'!E7/'Revenue Hours'!E7</f>
        <v>134.67912712023272</v>
      </c>
      <c r="AC17" s="178">
        <f t="shared" si="7"/>
        <v>0.93781121915849575</v>
      </c>
      <c r="AD17" s="179">
        <f t="shared" si="8"/>
        <v>3.0068147862169891E-2</v>
      </c>
      <c r="AE17" s="113">
        <f t="shared" si="9"/>
        <v>2.9979489402265344E-2</v>
      </c>
      <c r="AF17" s="262">
        <f>'Op Cost - Performance'!B7/'Revenue Miles'!B7</f>
        <v>10.933696332002826</v>
      </c>
      <c r="AG17" s="263">
        <f>'Op Cost - Performance'!C7/'Revenue Miles'!C7</f>
        <v>11.870903759778434</v>
      </c>
      <c r="AH17" s="263">
        <f>'Op Cost - Performance'!D7/'Revenue Miles'!D7</f>
        <v>10.491712158808934</v>
      </c>
      <c r="AI17" s="263">
        <f>'Op Cost - Performance'!E7/'Revenue Miles'!E7</f>
        <v>12.002583955345093</v>
      </c>
      <c r="AJ17" s="178">
        <f t="shared" si="10"/>
        <v>0.96841629016192654</v>
      </c>
      <c r="AK17" s="179">
        <f t="shared" si="11"/>
        <v>2.9117897634440351E-2</v>
      </c>
      <c r="AL17" s="113">
        <f t="shared" si="12"/>
        <v>2.9087410922686217E-2</v>
      </c>
      <c r="AM17" s="262">
        <f>'Op Cost - Performance'!B7/'Ridership'!B7</f>
        <v>10.475815275626847</v>
      </c>
      <c r="AN17" s="263">
        <f>'Op Cost - Performance'!C7/'Ridership'!C7</f>
        <v>11.852925793241749</v>
      </c>
      <c r="AO17" s="263">
        <f>'Op Cost - Performance'!D7/'Ridership'!D7</f>
        <v>9.8055061078538444</v>
      </c>
      <c r="AP17" s="263">
        <f>'Op Cost - Performance'!E7/'Ridership'!E7</f>
        <v>12.497575891508179</v>
      </c>
      <c r="AQ17" s="178">
        <f t="shared" si="13"/>
        <v>1.1150423863988028</v>
      </c>
      <c r="AR17" s="179">
        <f t="shared" si="14"/>
        <v>2.5288945737327477E-2</v>
      </c>
      <c r="AS17" s="115">
        <f t="shared" si="15"/>
        <v>2.520088380013118E-2</v>
      </c>
      <c r="AT17" s="111"/>
      <c r="AU17" s="116">
        <f t="shared" si="16"/>
        <v>4.7731988157414234E-3</v>
      </c>
      <c r="AV17" s="180">
        <f t="shared" si="17"/>
        <v>4.9123434774414453E-3</v>
      </c>
      <c r="AW17" s="180">
        <f t="shared" si="18"/>
        <v>5.995897880453069E-3</v>
      </c>
      <c r="AX17" s="180">
        <f t="shared" si="19"/>
        <v>5.8174821845372437E-3</v>
      </c>
      <c r="AY17" s="117">
        <f t="shared" si="20"/>
        <v>5.0401767600262368E-3</v>
      </c>
      <c r="AZ17" s="111"/>
      <c r="BA17" s="118">
        <f t="shared" si="21"/>
        <v>662520.8929862869</v>
      </c>
      <c r="BB17" s="181">
        <f t="shared" si="22"/>
        <v>681834.19818944635</v>
      </c>
      <c r="BC17" s="181">
        <f t="shared" si="23"/>
        <v>832231.75303568749</v>
      </c>
      <c r="BD17" s="181">
        <f t="shared" si="24"/>
        <v>807467.62090042012</v>
      </c>
      <c r="BE17" s="181">
        <f t="shared" si="25"/>
        <v>699577.48184487259</v>
      </c>
      <c r="BF17" s="119">
        <f t="shared" si="26"/>
        <v>3683631.9469567132</v>
      </c>
      <c r="BH17" s="257">
        <f>'Op Cost - Performance'!E7</f>
        <v>19397700</v>
      </c>
      <c r="BI17" s="182">
        <f t="shared" si="27"/>
        <v>0.18990044938094275</v>
      </c>
      <c r="BJ17" s="183">
        <f t="shared" si="28"/>
        <v>3683631.9469567132</v>
      </c>
      <c r="BK17" s="138">
        <f t="shared" si="29"/>
        <v>0</v>
      </c>
      <c r="BM17" s="52">
        <f t="shared" si="30"/>
        <v>3683631.9469567132</v>
      </c>
      <c r="BN17" s="184">
        <f t="shared" si="31"/>
        <v>3.0423554145451E-2</v>
      </c>
      <c r="BO17" s="259">
        <f t="shared" si="32"/>
        <v>49798.272523020481</v>
      </c>
      <c r="BP17" s="259">
        <f t="shared" si="46"/>
        <v>3733430.2194797336</v>
      </c>
      <c r="BQ17" s="185">
        <f t="shared" si="47"/>
        <v>0.19246767500681697</v>
      </c>
      <c r="BR17" s="142">
        <f t="shared" si="33"/>
        <v>0</v>
      </c>
      <c r="BS17" s="11"/>
      <c r="BT17" s="256">
        <f t="shared" si="34"/>
        <v>19397700</v>
      </c>
      <c r="BU17" s="186">
        <f t="shared" si="48"/>
        <v>0.19246767500681697</v>
      </c>
      <c r="BV17" s="187">
        <f t="shared" si="35"/>
        <v>3733430.2194797336</v>
      </c>
      <c r="BW17" s="143">
        <f t="shared" si="36"/>
        <v>0</v>
      </c>
      <c r="BY17" s="52">
        <f t="shared" si="49"/>
        <v>3733430.2194797336</v>
      </c>
      <c r="BZ17" s="188">
        <f t="shared" si="37"/>
        <v>3.0423554145451007E-2</v>
      </c>
      <c r="CA17" s="189">
        <f t="shared" si="38"/>
        <v>0</v>
      </c>
      <c r="CB17" s="147">
        <f t="shared" si="50"/>
        <v>3733430.2194797336</v>
      </c>
      <c r="CC17" s="190">
        <f t="shared" si="51"/>
        <v>0.19246767500681697</v>
      </c>
      <c r="CD17" s="148">
        <f t="shared" si="39"/>
        <v>0</v>
      </c>
      <c r="CE17" s="97"/>
      <c r="CF17" s="154">
        <f t="shared" si="40"/>
        <v>5819310</v>
      </c>
      <c r="CG17" s="189">
        <f t="shared" si="41"/>
        <v>0</v>
      </c>
      <c r="CH17" s="266">
        <f t="shared" si="42"/>
        <v>3733430.2194797336</v>
      </c>
      <c r="CI17" s="155">
        <f t="shared" si="43"/>
        <v>0.19246767500681697</v>
      </c>
      <c r="CJ17" s="276">
        <f>VLOOKUP(B17,'[5]Allocation Calculations'!$B$12:$CM$49, 90, FALSE)</f>
        <v>3555341.5023277341</v>
      </c>
      <c r="CK17" s="277">
        <f t="shared" si="44"/>
        <v>5.0090467268869163E-2</v>
      </c>
      <c r="CL17" s="278">
        <f t="shared" si="52"/>
        <v>0.55197434238987741</v>
      </c>
      <c r="CM17" s="279">
        <f>'Ridership'!L7</f>
        <v>5.0951032217481713E-2</v>
      </c>
      <c r="CN17" s="278">
        <f t="shared" si="53"/>
        <v>0</v>
      </c>
      <c r="CO17" s="280"/>
    </row>
    <row r="18" spans="1:93">
      <c r="A18" s="71" t="s">
        <v>82</v>
      </c>
      <c r="B18" s="240" t="s">
        <v>166</v>
      </c>
      <c r="C18" s="27"/>
      <c r="D18" s="70">
        <f>'Op Cost - Performance'!E8</f>
        <v>5394452</v>
      </c>
      <c r="E18" s="175">
        <f>'Ridership'!$E8</f>
        <v>323706</v>
      </c>
      <c r="F18" s="175">
        <f>'Revenue Hours - Sizing'!E8</f>
        <v>38381</v>
      </c>
      <c r="G18" s="175">
        <f>'Revenue Miles - Sizing'!E8</f>
        <v>532870</v>
      </c>
      <c r="H18" s="191">
        <f t="shared" si="45"/>
        <v>7.3774722519769293E-3</v>
      </c>
      <c r="I18" s="110">
        <f t="shared" si="0"/>
        <v>7.3774722519769293E-3</v>
      </c>
      <c r="J18" s="111"/>
      <c r="K18" s="112">
        <f>'Ridership'!B8/'Revenue Hours'!B8</f>
        <v>4.4669216251117509</v>
      </c>
      <c r="L18" s="177">
        <f>'Ridership'!C8/'Revenue Hours'!C8</f>
        <v>7.7552782335063606</v>
      </c>
      <c r="M18" s="177">
        <f>'Ridership'!D8/'Revenue Hours'!D8</f>
        <v>8.7410864535128319</v>
      </c>
      <c r="N18" s="177">
        <f>'Ridership'!E8/'Revenue Hours'!E8</f>
        <v>8.4340168312446266</v>
      </c>
      <c r="O18" s="178">
        <f t="shared" si="1"/>
        <v>1.1419753000737689</v>
      </c>
      <c r="P18" s="179">
        <f t="shared" si="2"/>
        <v>8.4248910887372574E-3</v>
      </c>
      <c r="Q18" s="113">
        <f t="shared" si="3"/>
        <v>8.3408348223419516E-3</v>
      </c>
      <c r="R18" s="114">
        <f>'Ridership'!B8/'Revenue Miles'!B8</f>
        <v>0.30066694525699961</v>
      </c>
      <c r="S18" s="177">
        <f>'Ridership'!C8/'Revenue Miles'!C8</f>
        <v>0.52558774529639718</v>
      </c>
      <c r="T18" s="177">
        <f>'Ridership'!D8/'Revenue Miles'!D8</f>
        <v>0.59910613719712735</v>
      </c>
      <c r="U18" s="177">
        <f>'Ridership'!E8/'Revenue Miles'!E8</f>
        <v>0.60747649520520952</v>
      </c>
      <c r="V18" s="178">
        <f t="shared" si="4"/>
        <v>1.1611398576907896</v>
      </c>
      <c r="W18" s="179">
        <f t="shared" si="5"/>
        <v>8.5662770807782406E-3</v>
      </c>
      <c r="X18" s="113">
        <f t="shared" si="6"/>
        <v>8.4660723689173045E-3</v>
      </c>
      <c r="Y18" s="262">
        <f>'Op Cost - Performance'!B8/'Revenue Hours'!B8</f>
        <v>112.67122777391477</v>
      </c>
      <c r="Z18" s="263">
        <f>'Op Cost - Performance'!C8/'Revenue Hours'!C8</f>
        <v>122.86288695839272</v>
      </c>
      <c r="AA18" s="263">
        <f>'Op Cost - Performance'!D8/'Revenue Hours'!D8</f>
        <v>138.48985065208245</v>
      </c>
      <c r="AB18" s="263">
        <f>'Op Cost - Performance'!E8/'Revenue Hours'!E8</f>
        <v>140.55006383366771</v>
      </c>
      <c r="AC18" s="178">
        <f t="shared" si="7"/>
        <v>1.0106605244264331</v>
      </c>
      <c r="AD18" s="179">
        <f t="shared" si="8"/>
        <v>7.299654111021868E-3</v>
      </c>
      <c r="AE18" s="113">
        <f t="shared" si="9"/>
        <v>7.2781304676539527E-3</v>
      </c>
      <c r="AF18" s="262">
        <f>'Op Cost - Performance'!B8/'Revenue Miles'!B8</f>
        <v>7.5838612620142083</v>
      </c>
      <c r="AG18" s="263">
        <f>'Op Cost - Performance'!C8/'Revenue Miles'!C8</f>
        <v>8.3266165046243135</v>
      </c>
      <c r="AH18" s="263">
        <f>'Op Cost - Performance'!D8/'Revenue Miles'!D8</f>
        <v>9.4919687508447552</v>
      </c>
      <c r="AI18" s="263">
        <f>'Op Cost - Performance'!E8/'Revenue Miles'!E8</f>
        <v>10.123392196971119</v>
      </c>
      <c r="AJ18" s="178">
        <f t="shared" si="10"/>
        <v>1.0301113201013523</v>
      </c>
      <c r="AK18" s="179">
        <f t="shared" si="11"/>
        <v>7.1618203858307876E-3</v>
      </c>
      <c r="AL18" s="113">
        <f t="shared" si="12"/>
        <v>7.15432189275691E-3</v>
      </c>
      <c r="AM18" s="262">
        <f>'Op Cost - Performance'!B8/'Ridership'!B8</f>
        <v>25.223461978940815</v>
      </c>
      <c r="AN18" s="263">
        <f>'Op Cost - Performance'!C8/'Ridership'!C8</f>
        <v>15.842486015210735</v>
      </c>
      <c r="AO18" s="263">
        <f>'Op Cost - Performance'!D8/'Ridership'!D8</f>
        <v>15.843551186526332</v>
      </c>
      <c r="AP18" s="263">
        <f>'Op Cost - Performance'!E8/'Ridership'!E8</f>
        <v>16.664664850203579</v>
      </c>
      <c r="AQ18" s="264">
        <f t="shared" si="13"/>
        <v>0.91895745425483943</v>
      </c>
      <c r="AR18" s="179">
        <f t="shared" si="14"/>
        <v>8.0280890239463193E-3</v>
      </c>
      <c r="AS18" s="115">
        <f t="shared" si="15"/>
        <v>8.000133367796149E-3</v>
      </c>
      <c r="AT18" s="111"/>
      <c r="AU18" s="116">
        <f t="shared" si="16"/>
        <v>1.6681669644683904E-3</v>
      </c>
      <c r="AV18" s="180">
        <f t="shared" si="17"/>
        <v>1.693214473783461E-3</v>
      </c>
      <c r="AW18" s="180">
        <f t="shared" si="18"/>
        <v>1.4556260935307905E-3</v>
      </c>
      <c r="AX18" s="180">
        <f t="shared" si="19"/>
        <v>1.4308643785513821E-3</v>
      </c>
      <c r="AY18" s="117">
        <f t="shared" si="20"/>
        <v>1.6000266735592299E-3</v>
      </c>
      <c r="AZ18" s="111"/>
      <c r="BA18" s="118">
        <f t="shared" si="21"/>
        <v>231541.8882836019</v>
      </c>
      <c r="BB18" s="181">
        <f t="shared" si="22"/>
        <v>235018.48728546547</v>
      </c>
      <c r="BC18" s="181">
        <f t="shared" si="23"/>
        <v>202041.1754397793</v>
      </c>
      <c r="BD18" s="181">
        <f t="shared" si="24"/>
        <v>198604.24474543499</v>
      </c>
      <c r="BE18" s="181">
        <f t="shared" si="25"/>
        <v>222084.00309503573</v>
      </c>
      <c r="BF18" s="119">
        <f t="shared" si="26"/>
        <v>1089289.7988493172</v>
      </c>
      <c r="BH18" s="257">
        <f>'Op Cost - Performance'!E8</f>
        <v>5394452</v>
      </c>
      <c r="BI18" s="182">
        <f t="shared" si="27"/>
        <v>0.20192779523282758</v>
      </c>
      <c r="BJ18" s="183">
        <f t="shared" si="28"/>
        <v>1089289.7988493172</v>
      </c>
      <c r="BK18" s="138">
        <f t="shared" si="29"/>
        <v>0</v>
      </c>
      <c r="BM18" s="52">
        <f t="shared" si="30"/>
        <v>1089289.7988493172</v>
      </c>
      <c r="BN18" s="184">
        <f t="shared" si="31"/>
        <v>8.9965739391414459E-3</v>
      </c>
      <c r="BO18" s="259">
        <f t="shared" si="32"/>
        <v>14725.887667593817</v>
      </c>
      <c r="BP18" s="259">
        <f t="shared" si="46"/>
        <v>1104015.686516911</v>
      </c>
      <c r="BQ18" s="185">
        <f t="shared" si="47"/>
        <v>0.20465761610575292</v>
      </c>
      <c r="BR18" s="142">
        <f t="shared" si="33"/>
        <v>0</v>
      </c>
      <c r="BS18" s="11"/>
      <c r="BT18" s="256">
        <f t="shared" si="34"/>
        <v>5394452</v>
      </c>
      <c r="BU18" s="186">
        <f t="shared" si="48"/>
        <v>0.20465761610575292</v>
      </c>
      <c r="BV18" s="187">
        <f t="shared" si="35"/>
        <v>1104015.686516911</v>
      </c>
      <c r="BW18" s="143">
        <f t="shared" si="36"/>
        <v>0</v>
      </c>
      <c r="BY18" s="52">
        <f t="shared" si="49"/>
        <v>1104015.686516911</v>
      </c>
      <c r="BZ18" s="188">
        <f t="shared" si="37"/>
        <v>8.9965739391414477E-3</v>
      </c>
      <c r="CA18" s="189">
        <f t="shared" si="38"/>
        <v>0</v>
      </c>
      <c r="CB18" s="147">
        <f t="shared" si="50"/>
        <v>1104015.686516911</v>
      </c>
      <c r="CC18" s="190">
        <f t="shared" si="51"/>
        <v>0.20465761610575292</v>
      </c>
      <c r="CD18" s="148">
        <f t="shared" si="39"/>
        <v>0</v>
      </c>
      <c r="CE18" s="97"/>
      <c r="CF18" s="154">
        <f t="shared" si="40"/>
        <v>1618335.5999999999</v>
      </c>
      <c r="CG18" s="189">
        <f t="shared" si="41"/>
        <v>0</v>
      </c>
      <c r="CH18" s="266">
        <f t="shared" si="42"/>
        <v>1104015.686516911</v>
      </c>
      <c r="CI18" s="155">
        <f t="shared" si="43"/>
        <v>0.20465761610575292</v>
      </c>
      <c r="CJ18" s="276">
        <v>1077295.1346554393</v>
      </c>
      <c r="CK18" s="277">
        <f t="shared" si="44"/>
        <v>2.4803371891230157E-2</v>
      </c>
      <c r="CL18" s="278">
        <f t="shared" si="52"/>
        <v>0.27332196394227043</v>
      </c>
      <c r="CM18" s="279">
        <f>'Ridership'!L8</f>
        <v>-2.6275339082724454E-2</v>
      </c>
      <c r="CN18" s="278">
        <f t="shared" si="53"/>
        <v>0</v>
      </c>
      <c r="CO18" s="280"/>
    </row>
    <row r="19" spans="1:93">
      <c r="A19" s="71" t="s">
        <v>84</v>
      </c>
      <c r="B19" s="240" t="s">
        <v>85</v>
      </c>
      <c r="C19" s="27"/>
      <c r="D19" s="70">
        <f>'Op Cost - Performance'!E9</f>
        <v>2252994</v>
      </c>
      <c r="E19" s="175">
        <f>'Ridership'!$E9</f>
        <v>89631</v>
      </c>
      <c r="F19" s="175">
        <f>'Revenue Hours - Sizing'!E9</f>
        <v>24537</v>
      </c>
      <c r="G19" s="175">
        <f>'Revenue Miles - Sizing'!E9</f>
        <v>470169</v>
      </c>
      <c r="H19" s="191">
        <f t="shared" si="45"/>
        <v>3.3840749511054305E-3</v>
      </c>
      <c r="I19" s="110">
        <f t="shared" si="0"/>
        <v>3.3840749511054305E-3</v>
      </c>
      <c r="J19" s="111"/>
      <c r="K19" s="112">
        <f>'Ridership'!B9/'Revenue Hours'!B9</f>
        <v>3.4816356739753909</v>
      </c>
      <c r="L19" s="177">
        <f>'Ridership'!C9/'Revenue Hours'!C9</f>
        <v>3.3501561802766622</v>
      </c>
      <c r="M19" s="177">
        <f>'Ridership'!D9/'Revenue Hours'!D9</f>
        <v>3.1494107846229751</v>
      </c>
      <c r="N19" s="177">
        <f>'Ridership'!E9/'Revenue Hours'!E9</f>
        <v>3.6528915515344176</v>
      </c>
      <c r="O19" s="178">
        <f t="shared" si="1"/>
        <v>0.92705439318081295</v>
      </c>
      <c r="P19" s="179">
        <f t="shared" si="2"/>
        <v>3.1372215502754341E-3</v>
      </c>
      <c r="Q19" s="113">
        <f t="shared" si="3"/>
        <v>3.1059210708278629E-3</v>
      </c>
      <c r="R19" s="114">
        <f>'Ridership'!B9/'Revenue Miles'!B9</f>
        <v>0.18135424146189841</v>
      </c>
      <c r="S19" s="177">
        <f>'Ridership'!C9/'Revenue Miles'!C9</f>
        <v>0.16980829081171064</v>
      </c>
      <c r="T19" s="177">
        <f>'Ridership'!D9/'Revenue Miles'!D9</f>
        <v>0.16788284977030846</v>
      </c>
      <c r="U19" s="177">
        <f>'Ridership'!E9/'Revenue Miles'!E9</f>
        <v>0.19063570758599568</v>
      </c>
      <c r="V19" s="178">
        <f t="shared" si="4"/>
        <v>0.92466991769611839</v>
      </c>
      <c r="W19" s="179">
        <f t="shared" si="5"/>
        <v>3.1291523065161541E-3</v>
      </c>
      <c r="X19" s="113">
        <f t="shared" si="6"/>
        <v>3.0925487969300563E-3</v>
      </c>
      <c r="Y19" s="262">
        <f>'Op Cost - Performance'!B9/'Revenue Hours'!B9</f>
        <v>79.874363955962622</v>
      </c>
      <c r="Z19" s="263">
        <f>'Op Cost - Performance'!C9/'Revenue Hours'!C9</f>
        <v>87.91722445336903</v>
      </c>
      <c r="AA19" s="263">
        <f>'Op Cost - Performance'!D9/'Revenue Hours'!D9</f>
        <v>86.01201886136252</v>
      </c>
      <c r="AB19" s="263">
        <f>'Op Cost - Performance'!E9/'Revenue Hours'!E9</f>
        <v>91.820271426824789</v>
      </c>
      <c r="AC19" s="178">
        <f t="shared" si="7"/>
        <v>0.98234036032256267</v>
      </c>
      <c r="AD19" s="179">
        <f t="shared" si="8"/>
        <v>3.4449108351755301E-3</v>
      </c>
      <c r="AE19" s="113">
        <f t="shared" si="9"/>
        <v>3.4347532261816147E-3</v>
      </c>
      <c r="AF19" s="262">
        <f>'Op Cost - Performance'!B9/'Revenue Miles'!B9</f>
        <v>4.1605601630756928</v>
      </c>
      <c r="AG19" s="263">
        <f>'Op Cost - Performance'!C9/'Revenue Miles'!C9</f>
        <v>4.456232131871313</v>
      </c>
      <c r="AH19" s="263">
        <f>'Op Cost - Performance'!D9/'Revenue Miles'!D9</f>
        <v>4.5849664678377957</v>
      </c>
      <c r="AI19" s="263">
        <f>'Op Cost - Performance'!E9/'Revenue Miles'!E9</f>
        <v>4.7918812171793546</v>
      </c>
      <c r="AJ19" s="178">
        <f t="shared" si="10"/>
        <v>0.97973056223005706</v>
      </c>
      <c r="AK19" s="179">
        <f t="shared" si="11"/>
        <v>3.4540873598988471E-3</v>
      </c>
      <c r="AL19" s="113">
        <f t="shared" si="12"/>
        <v>3.4504708980568257E-3</v>
      </c>
      <c r="AM19" s="262">
        <f>'Op Cost - Performance'!B9/'Ridership'!B9</f>
        <v>22.941620386363031</v>
      </c>
      <c r="AN19" s="263">
        <f>'Op Cost - Performance'!C9/'Ridership'!C9</f>
        <v>26.242724136553139</v>
      </c>
      <c r="AO19" s="263">
        <f>'Op Cost - Performance'!D9/'Ridership'!D9</f>
        <v>27.310511312565808</v>
      </c>
      <c r="AP19" s="263">
        <f>'Op Cost - Performance'!E9/'Ridership'!E9</f>
        <v>25.136325601633363</v>
      </c>
      <c r="AQ19" s="264">
        <f t="shared" si="13"/>
        <v>1.0761338043932669</v>
      </c>
      <c r="AR19" s="179">
        <f t="shared" si="14"/>
        <v>3.1446600202410702E-3</v>
      </c>
      <c r="AS19" s="115">
        <f t="shared" si="15"/>
        <v>3.133709589326213E-3</v>
      </c>
      <c r="AT19" s="111"/>
      <c r="AU19" s="116">
        <f t="shared" si="16"/>
        <v>6.2118421416557264E-4</v>
      </c>
      <c r="AV19" s="180">
        <f t="shared" si="17"/>
        <v>6.1850975938601126E-4</v>
      </c>
      <c r="AW19" s="180">
        <f t="shared" si="18"/>
        <v>6.86950645236323E-4</v>
      </c>
      <c r="AX19" s="180">
        <f t="shared" si="19"/>
        <v>6.9009417961136521E-4</v>
      </c>
      <c r="AY19" s="117">
        <f t="shared" si="20"/>
        <v>6.2674191786524268E-4</v>
      </c>
      <c r="AZ19" s="111"/>
      <c r="BA19" s="118">
        <f t="shared" si="21"/>
        <v>86220.485708813751</v>
      </c>
      <c r="BB19" s="181">
        <f t="shared" si="22"/>
        <v>85849.270882613127</v>
      </c>
      <c r="BC19" s="181">
        <f t="shared" si="23"/>
        <v>95348.878705522933</v>
      </c>
      <c r="BD19" s="181">
        <f t="shared" si="24"/>
        <v>95785.201867763259</v>
      </c>
      <c r="BE19" s="181">
        <f t="shared" si="25"/>
        <v>86991.896027176248</v>
      </c>
      <c r="BF19" s="119">
        <f t="shared" si="26"/>
        <v>450195.7331918893</v>
      </c>
      <c r="BH19" s="257">
        <f>'Op Cost - Performance'!E9</f>
        <v>2252994</v>
      </c>
      <c r="BI19" s="182">
        <f t="shared" si="27"/>
        <v>0.19982109725631284</v>
      </c>
      <c r="BJ19" s="183">
        <f t="shared" si="28"/>
        <v>450195.7331918893</v>
      </c>
      <c r="BK19" s="138">
        <f t="shared" si="29"/>
        <v>0</v>
      </c>
      <c r="BM19" s="52">
        <f t="shared" si="30"/>
        <v>450195.7331918893</v>
      </c>
      <c r="BN19" s="184">
        <f t="shared" si="31"/>
        <v>3.7182200779125249E-3</v>
      </c>
      <c r="BO19" s="259">
        <f t="shared" si="32"/>
        <v>6086.104728435881</v>
      </c>
      <c r="BP19" s="259">
        <f t="shared" si="46"/>
        <v>456281.83792032517</v>
      </c>
      <c r="BQ19" s="185">
        <f t="shared" si="47"/>
        <v>0.20252243810694798</v>
      </c>
      <c r="BR19" s="142">
        <f t="shared" si="33"/>
        <v>0</v>
      </c>
      <c r="BS19" s="11"/>
      <c r="BT19" s="256">
        <f t="shared" si="34"/>
        <v>2252994</v>
      </c>
      <c r="BU19" s="186">
        <f t="shared" si="48"/>
        <v>0.20252243810694798</v>
      </c>
      <c r="BV19" s="187">
        <f t="shared" si="35"/>
        <v>456281.83792032517</v>
      </c>
      <c r="BW19" s="143">
        <f t="shared" si="36"/>
        <v>0</v>
      </c>
      <c r="BY19" s="52">
        <f t="shared" si="49"/>
        <v>456281.83792032517</v>
      </c>
      <c r="BZ19" s="188">
        <f t="shared" si="37"/>
        <v>3.7182200779125258E-3</v>
      </c>
      <c r="CA19" s="189">
        <f t="shared" si="38"/>
        <v>0</v>
      </c>
      <c r="CB19" s="147">
        <f t="shared" si="50"/>
        <v>456281.83792032517</v>
      </c>
      <c r="CC19" s="190">
        <f t="shared" si="51"/>
        <v>0.20252243810694798</v>
      </c>
      <c r="CD19" s="148">
        <f t="shared" si="39"/>
        <v>0</v>
      </c>
      <c r="CE19" s="97"/>
      <c r="CF19" s="154">
        <f t="shared" si="40"/>
        <v>675898.2</v>
      </c>
      <c r="CG19" s="189">
        <f t="shared" si="41"/>
        <v>0</v>
      </c>
      <c r="CH19" s="266">
        <f t="shared" si="42"/>
        <v>456281.83792032517</v>
      </c>
      <c r="CI19" s="155">
        <f t="shared" si="43"/>
        <v>0.20252243810694798</v>
      </c>
      <c r="CJ19" s="276">
        <f>VLOOKUP(B19,'[5]Allocation Calculations'!$B$12:$CM$49, 90, FALSE)</f>
        <v>373177.02133930218</v>
      </c>
      <c r="CK19" s="277">
        <f t="shared" si="44"/>
        <v>0.22269542825216437</v>
      </c>
      <c r="CL19" s="278">
        <f t="shared" si="52"/>
        <v>2.4540031120675074</v>
      </c>
      <c r="CM19" s="279">
        <f>'Ridership'!L9</f>
        <v>0.15091553455404608</v>
      </c>
      <c r="CN19" s="278">
        <f t="shared" si="53"/>
        <v>0</v>
      </c>
      <c r="CO19" s="280"/>
    </row>
    <row r="20" spans="1:93">
      <c r="A20" s="71" t="s">
        <v>84</v>
      </c>
      <c r="B20" s="240" t="s">
        <v>86</v>
      </c>
      <c r="C20" s="27"/>
      <c r="D20" s="70">
        <f>'Op Cost - Performance'!E10</f>
        <v>214513</v>
      </c>
      <c r="E20" s="175">
        <f>'Ridership'!$E10</f>
        <v>11743</v>
      </c>
      <c r="F20" s="175">
        <f>'Revenue Hours - Sizing'!E10</f>
        <v>3025</v>
      </c>
      <c r="G20" s="175">
        <f>'Revenue Miles - Sizing'!E10</f>
        <v>53460</v>
      </c>
      <c r="H20" s="191">
        <f t="shared" si="45"/>
        <v>3.6542767137057376E-4</v>
      </c>
      <c r="I20" s="110">
        <f t="shared" si="0"/>
        <v>3.6542767137057376E-4</v>
      </c>
      <c r="J20" s="111"/>
      <c r="K20" s="112">
        <f>'Ridership'!B10/'Revenue Hours'!B10</f>
        <v>1.759546925566343</v>
      </c>
      <c r="L20" s="177">
        <f>'Ridership'!C10/'Revenue Hours'!C10</f>
        <v>3.4945302445302446</v>
      </c>
      <c r="M20" s="177">
        <f>'Ridership'!D10/'Revenue Hours'!D10</f>
        <v>4.1829440905874025</v>
      </c>
      <c r="N20" s="177">
        <f>'Ridership'!E10/'Revenue Hours'!E10</f>
        <v>3.8819834710743804</v>
      </c>
      <c r="O20" s="178">
        <f t="shared" si="1"/>
        <v>1.2225198179994925</v>
      </c>
      <c r="P20" s="179">
        <f t="shared" si="2"/>
        <v>4.467425702959322E-4</v>
      </c>
      <c r="Q20" s="113">
        <f t="shared" si="3"/>
        <v>4.4228535985802884E-4</v>
      </c>
      <c r="R20" s="114">
        <f>'Ridership'!B10/'Revenue Miles'!B10</f>
        <v>0.10382691059084138</v>
      </c>
      <c r="S20" s="177">
        <f>'Ridership'!C10/'Revenue Miles'!C10</f>
        <v>0.19750504628030041</v>
      </c>
      <c r="T20" s="177">
        <f>'Ridership'!D10/'Revenue Miles'!D10</f>
        <v>0.21925659383462551</v>
      </c>
      <c r="U20" s="177">
        <f>'Ridership'!E10/'Revenue Miles'!E10</f>
        <v>0.21965955854844743</v>
      </c>
      <c r="V20" s="178">
        <f t="shared" si="4"/>
        <v>1.1913700355096102</v>
      </c>
      <c r="W20" s="179">
        <f t="shared" si="5"/>
        <v>4.3535957781695462E-4</v>
      </c>
      <c r="X20" s="113">
        <f t="shared" si="6"/>
        <v>4.3026692430602202E-4</v>
      </c>
      <c r="Y20" s="262">
        <f>'Op Cost - Performance'!B10/'Revenue Hours'!B10</f>
        <v>54.219417475728157</v>
      </c>
      <c r="Z20" s="263">
        <f>'Op Cost - Performance'!C10/'Revenue Hours'!C10</f>
        <v>62.816602316602314</v>
      </c>
      <c r="AA20" s="263">
        <f>'Op Cost - Performance'!D10/'Revenue Hours'!D10</f>
        <v>79.922859164897375</v>
      </c>
      <c r="AB20" s="263">
        <f>'Op Cost - Performance'!E10/'Revenue Hours'!E10</f>
        <v>70.913388429752061</v>
      </c>
      <c r="AC20" s="178">
        <f t="shared" si="7"/>
        <v>1.038437240030643</v>
      </c>
      <c r="AD20" s="179">
        <f t="shared" si="8"/>
        <v>3.5190154713614705E-4</v>
      </c>
      <c r="AE20" s="113">
        <f t="shared" si="9"/>
        <v>3.5086393586224575E-4</v>
      </c>
      <c r="AF20" s="262">
        <f>'Op Cost - Performance'!B10/'Revenue Miles'!B10</f>
        <v>3.1993660008402398</v>
      </c>
      <c r="AG20" s="263">
        <f>'Op Cost - Performance'!C10/'Revenue Miles'!C10</f>
        <v>3.5502900474623118</v>
      </c>
      <c r="AH20" s="263">
        <f>'Op Cost - Performance'!D10/'Revenue Miles'!D10</f>
        <v>4.1893014801350299</v>
      </c>
      <c r="AI20" s="263">
        <f>'Op Cost - Performance'!E10/'Revenue Miles'!E10</f>
        <v>4.0125888514777408</v>
      </c>
      <c r="AJ20" s="178">
        <f t="shared" si="10"/>
        <v>1.0127792417852515</v>
      </c>
      <c r="AK20" s="179">
        <f t="shared" si="11"/>
        <v>3.6081670742621583E-4</v>
      </c>
      <c r="AL20" s="113">
        <f t="shared" si="12"/>
        <v>3.6043892895149627E-4</v>
      </c>
      <c r="AM20" s="262">
        <f>'Op Cost - Performance'!B10/'Ridership'!B10</f>
        <v>30.814419716755562</v>
      </c>
      <c r="AN20" s="263">
        <f>'Op Cost - Performance'!C10/'Ridership'!C10</f>
        <v>17.97569284596262</v>
      </c>
      <c r="AO20" s="263">
        <f>'Op Cost - Performance'!D10/'Ridership'!D10</f>
        <v>19.106843752643602</v>
      </c>
      <c r="AP20" s="263">
        <f>'Op Cost - Performance'!E10/'Ridership'!E10</f>
        <v>18.26730818359874</v>
      </c>
      <c r="AQ20" s="264">
        <f t="shared" si="13"/>
        <v>0.89281324576032695</v>
      </c>
      <c r="AR20" s="179">
        <f t="shared" si="14"/>
        <v>4.0929911502306693E-4</v>
      </c>
      <c r="AS20" s="115">
        <f t="shared" si="15"/>
        <v>4.0787384117669774E-4</v>
      </c>
      <c r="AT20" s="111"/>
      <c r="AU20" s="116">
        <f t="shared" si="16"/>
        <v>8.8457071971605769E-5</v>
      </c>
      <c r="AV20" s="180">
        <f t="shared" si="17"/>
        <v>8.6053384861204413E-5</v>
      </c>
      <c r="AW20" s="180">
        <f t="shared" si="18"/>
        <v>7.017278717244915E-5</v>
      </c>
      <c r="AX20" s="180">
        <f t="shared" si="19"/>
        <v>7.208778579029926E-5</v>
      </c>
      <c r="AY20" s="117">
        <f t="shared" si="20"/>
        <v>8.1574768235339549E-5</v>
      </c>
      <c r="AZ20" s="111"/>
      <c r="BA20" s="118">
        <f t="shared" si="21"/>
        <v>12277.858219588412</v>
      </c>
      <c r="BB20" s="181">
        <f t="shared" si="22"/>
        <v>11944.225996771527</v>
      </c>
      <c r="BC20" s="181">
        <f t="shared" si="23"/>
        <v>9739.9960520199311</v>
      </c>
      <c r="BD20" s="181">
        <f t="shared" si="24"/>
        <v>10005.798220197266</v>
      </c>
      <c r="BE20" s="181">
        <f t="shared" si="25"/>
        <v>11322.593167121559</v>
      </c>
      <c r="BF20" s="119">
        <f t="shared" si="26"/>
        <v>55290.47165569869</v>
      </c>
      <c r="BH20" s="257">
        <f>'Op Cost - Performance'!E10</f>
        <v>214513</v>
      </c>
      <c r="BI20" s="182">
        <f t="shared" si="27"/>
        <v>0.25774881548297163</v>
      </c>
      <c r="BJ20" s="183">
        <f t="shared" si="28"/>
        <v>55290.47165569869</v>
      </c>
      <c r="BK20" s="138">
        <f t="shared" si="29"/>
        <v>0</v>
      </c>
      <c r="BM20" s="52">
        <f t="shared" si="30"/>
        <v>55290.47165569869</v>
      </c>
      <c r="BN20" s="184">
        <f t="shared" si="31"/>
        <v>4.5665057811608773E-4</v>
      </c>
      <c r="BO20" s="259">
        <f t="shared" si="32"/>
        <v>747.460662488705</v>
      </c>
      <c r="BP20" s="259">
        <f t="shared" si="46"/>
        <v>56037.932318187392</v>
      </c>
      <c r="BQ20" s="185">
        <f t="shared" si="47"/>
        <v>0.26123326939713393</v>
      </c>
      <c r="BR20" s="142">
        <f t="shared" si="33"/>
        <v>0</v>
      </c>
      <c r="BS20" s="11"/>
      <c r="BT20" s="256">
        <f t="shared" si="34"/>
        <v>214513</v>
      </c>
      <c r="BU20" s="186">
        <f t="shared" si="48"/>
        <v>0.26123326939713393</v>
      </c>
      <c r="BV20" s="187">
        <f t="shared" si="35"/>
        <v>56037.932318187392</v>
      </c>
      <c r="BW20" s="143">
        <f t="shared" si="36"/>
        <v>0</v>
      </c>
      <c r="BY20" s="52">
        <f t="shared" si="49"/>
        <v>56037.932318187392</v>
      </c>
      <c r="BZ20" s="188">
        <f t="shared" si="37"/>
        <v>4.5665057811608784E-4</v>
      </c>
      <c r="CA20" s="189">
        <f t="shared" si="38"/>
        <v>0</v>
      </c>
      <c r="CB20" s="147">
        <f t="shared" si="50"/>
        <v>56037.932318187392</v>
      </c>
      <c r="CC20" s="190">
        <f t="shared" si="51"/>
        <v>0.26123326939713393</v>
      </c>
      <c r="CD20" s="148">
        <f t="shared" si="39"/>
        <v>0</v>
      </c>
      <c r="CE20" s="97"/>
      <c r="CF20" s="154">
        <f t="shared" si="40"/>
        <v>64353.899999999994</v>
      </c>
      <c r="CG20" s="189">
        <f t="shared" si="41"/>
        <v>0</v>
      </c>
      <c r="CH20" s="266">
        <f t="shared" si="42"/>
        <v>56037.932318187392</v>
      </c>
      <c r="CI20" s="155">
        <f t="shared" si="43"/>
        <v>0.26123326939713393</v>
      </c>
      <c r="CJ20" s="276">
        <f>VLOOKUP(B20,'[5]Allocation Calculations'!$B$12:$CM$49, 90, FALSE)</f>
        <v>56843.967959246584</v>
      </c>
      <c r="CK20" s="277">
        <f t="shared" si="44"/>
        <v>-1.4179791981394879E-2</v>
      </c>
      <c r="CL20" s="278">
        <f t="shared" si="52"/>
        <v>-0.15625490798765299</v>
      </c>
      <c r="CM20" s="279">
        <f>'Ridership'!L10</f>
        <v>-6.5984265290584551E-3</v>
      </c>
      <c r="CN20" s="278">
        <f t="shared" si="53"/>
        <v>2.1489656540008828</v>
      </c>
      <c r="CO20" s="281">
        <f>CJ20-CH20</f>
        <v>806.03564105919213</v>
      </c>
    </row>
    <row r="21" spans="1:93">
      <c r="A21" s="71" t="s">
        <v>84</v>
      </c>
      <c r="B21" s="240" t="s">
        <v>87</v>
      </c>
      <c r="C21" s="27"/>
      <c r="D21" s="70">
        <f>'Op Cost - Performance'!E11</f>
        <v>153334791</v>
      </c>
      <c r="E21" s="175">
        <f>'Ridership'!$E11</f>
        <v>9363208</v>
      </c>
      <c r="F21" s="175">
        <f>'Revenue Hours - Sizing'!E11</f>
        <v>935916</v>
      </c>
      <c r="G21" s="175">
        <f>'Revenue Miles - Sizing'!E11</f>
        <v>12877408</v>
      </c>
      <c r="H21" s="191">
        <f t="shared" si="45"/>
        <v>0.20403757983032761</v>
      </c>
      <c r="I21" s="110">
        <f>H21/(SUM($H$12:$H$50))</f>
        <v>0.20403757983032761</v>
      </c>
      <c r="J21" s="111"/>
      <c r="K21" s="112">
        <f>'Ridership'!B11/'Revenue Hours'!B11</f>
        <v>7.1961861955660096</v>
      </c>
      <c r="L21" s="177">
        <f>'Ridership'!C11/'Revenue Hours'!C11</f>
        <v>7.4695517602798605</v>
      </c>
      <c r="M21" s="177">
        <f>'Ridership'!D11/'Revenue Hours'!D11</f>
        <v>8.5492046319520014</v>
      </c>
      <c r="N21" s="177">
        <f>'Ridership'!E11/'Revenue Hours'!E11</f>
        <v>10.004325174481471</v>
      </c>
      <c r="O21" s="178">
        <f t="shared" si="1"/>
        <v>1.015177034055516</v>
      </c>
      <c r="P21" s="179">
        <f t="shared" si="2"/>
        <v>0.20713426512801755</v>
      </c>
      <c r="Q21" s="113">
        <f t="shared" si="3"/>
        <v>0.20506765883176856</v>
      </c>
      <c r="R21" s="114">
        <f>'Ridership'!B11/'Revenue Miles'!B11</f>
        <v>0.49455273703023678</v>
      </c>
      <c r="S21" s="177">
        <f>'Ridership'!C11/'Revenue Miles'!C11</f>
        <v>0.51854760762331398</v>
      </c>
      <c r="T21" s="177">
        <f>'Ridership'!D11/'Revenue Miles'!D11</f>
        <v>0.6301184730948638</v>
      </c>
      <c r="U21" s="177">
        <f>'Ridership'!E11/'Revenue Miles'!E11</f>
        <v>0.72710346678462001</v>
      </c>
      <c r="V21" s="178">
        <f t="shared" si="4"/>
        <v>1.0320759661540508</v>
      </c>
      <c r="W21" s="179">
        <f t="shared" si="5"/>
        <v>0.21058228233511964</v>
      </c>
      <c r="X21" s="113">
        <f t="shared" si="6"/>
        <v>0.20811897923093239</v>
      </c>
      <c r="Y21" s="262">
        <f>'Op Cost - Performance'!B11/'Revenue Hours'!B11</f>
        <v>112.49719845156518</v>
      </c>
      <c r="Z21" s="263">
        <f>'Op Cost - Performance'!C11/'Revenue Hours'!C11</f>
        <v>125.82563161812979</v>
      </c>
      <c r="AA21" s="263">
        <f>'Op Cost - Performance'!D11/'Revenue Hours'!D11</f>
        <v>129.05743638229609</v>
      </c>
      <c r="AB21" s="263">
        <f>'Op Cost - Performance'!E11/'Revenue Hours'!E11</f>
        <v>163.83392419832549</v>
      </c>
      <c r="AC21" s="178">
        <f t="shared" si="7"/>
        <v>1.0657346617581893</v>
      </c>
      <c r="AD21" s="179">
        <f t="shared" si="8"/>
        <v>0.19145251360570167</v>
      </c>
      <c r="AE21" s="113">
        <f t="shared" si="9"/>
        <v>0.19088799978599641</v>
      </c>
      <c r="AF21" s="262">
        <f>'Op Cost - Performance'!B11/'Revenue Miles'!B11</f>
        <v>7.7312893094311175</v>
      </c>
      <c r="AG21" s="263">
        <f>'Op Cost - Performance'!C11/'Revenue Miles'!C11</f>
        <v>8.735006108429328</v>
      </c>
      <c r="AH21" s="263">
        <f>'Op Cost - Performance'!D11/'Revenue Miles'!D11</f>
        <v>9.512168471300491</v>
      </c>
      <c r="AI21" s="263">
        <f>'Op Cost - Performance'!E11/'Revenue Miles'!E11</f>
        <v>11.907271323545856</v>
      </c>
      <c r="AJ21" s="178">
        <f t="shared" si="10"/>
        <v>1.080974279351044</v>
      </c>
      <c r="AK21" s="179">
        <f t="shared" si="11"/>
        <v>0.18875340859434722</v>
      </c>
      <c r="AL21" s="113">
        <f t="shared" si="12"/>
        <v>0.18855578200630604</v>
      </c>
      <c r="AM21" s="262">
        <f>'Op Cost - Performance'!B11/'Ridership'!B11</f>
        <v>15.632891561488677</v>
      </c>
      <c r="AN21" s="263">
        <f>'Op Cost - Performance'!C11/'Ridership'!C11</f>
        <v>16.845138189847084</v>
      </c>
      <c r="AO21" s="263">
        <f>'Op Cost - Performance'!D11/'Ridership'!D11</f>
        <v>15.095841302002967</v>
      </c>
      <c r="AP21" s="263">
        <f>'Op Cost - Performance'!E11/'Ridership'!E11</f>
        <v>16.376309380289321</v>
      </c>
      <c r="AQ21" s="178">
        <f t="shared" si="13"/>
        <v>1.0566340383824626</v>
      </c>
      <c r="AR21" s="179">
        <f t="shared" si="14"/>
        <v>0.19310146410073675</v>
      </c>
      <c r="AS21" s="115">
        <f t="shared" si="15"/>
        <v>0.19242904030020433</v>
      </c>
      <c r="AT21" s="111"/>
      <c r="AU21" s="116">
        <f t="shared" si="16"/>
        <v>4.1013531766353716E-2</v>
      </c>
      <c r="AV21" s="180">
        <f t="shared" si="17"/>
        <v>4.162379584618648E-2</v>
      </c>
      <c r="AW21" s="180">
        <f t="shared" si="18"/>
        <v>3.8177599957199285E-2</v>
      </c>
      <c r="AX21" s="180">
        <f t="shared" si="19"/>
        <v>3.7711156401261214E-2</v>
      </c>
      <c r="AY21" s="117">
        <f t="shared" si="20"/>
        <v>3.8485808060040871E-2</v>
      </c>
      <c r="AZ21" s="111"/>
      <c r="BA21" s="118">
        <f t="shared" si="21"/>
        <v>5692685.9197138678</v>
      </c>
      <c r="BB21" s="181">
        <f t="shared" si="22"/>
        <v>5777390.6887243027</v>
      </c>
      <c r="BC21" s="181">
        <f t="shared" si="23"/>
        <v>5299058.0514480527</v>
      </c>
      <c r="BD21" s="181">
        <f t="shared" si="24"/>
        <v>5234315.5981924599</v>
      </c>
      <c r="BE21" s="181">
        <f t="shared" si="25"/>
        <v>5341837.3940655878</v>
      </c>
      <c r="BF21" s="119">
        <f t="shared" si="26"/>
        <v>27345287.652144272</v>
      </c>
      <c r="BH21" s="257">
        <f>'Op Cost - Performance'!E11</f>
        <v>153334791</v>
      </c>
      <c r="BI21" s="182">
        <f t="shared" si="27"/>
        <v>0.1783371371481132</v>
      </c>
      <c r="BJ21" s="183">
        <f t="shared" si="28"/>
        <v>27345287.652144272</v>
      </c>
      <c r="BK21" s="138">
        <f t="shared" si="29"/>
        <v>0</v>
      </c>
      <c r="BM21" s="52">
        <f t="shared" si="30"/>
        <v>27345287.652144272</v>
      </c>
      <c r="BN21" s="184">
        <f t="shared" si="31"/>
        <v>0.22584798141824786</v>
      </c>
      <c r="BO21" s="259">
        <f t="shared" si="32"/>
        <v>369675.39274571004</v>
      </c>
      <c r="BP21" s="259">
        <f t="shared" si="46"/>
        <v>27714963.044889983</v>
      </c>
      <c r="BQ21" s="185">
        <f t="shared" si="47"/>
        <v>0.18074804070323469</v>
      </c>
      <c r="BR21" s="142">
        <f t="shared" si="33"/>
        <v>0</v>
      </c>
      <c r="BS21" s="11"/>
      <c r="BT21" s="256">
        <f t="shared" si="34"/>
        <v>153334791</v>
      </c>
      <c r="BU21" s="186">
        <f t="shared" si="48"/>
        <v>0.18074804070323469</v>
      </c>
      <c r="BV21" s="187">
        <f t="shared" si="35"/>
        <v>27714963.044889983</v>
      </c>
      <c r="BW21" s="143">
        <f t="shared" si="36"/>
        <v>0</v>
      </c>
      <c r="BY21" s="52">
        <f t="shared" si="49"/>
        <v>27714963.044889983</v>
      </c>
      <c r="BZ21" s="188">
        <f t="shared" si="37"/>
        <v>0.22584798141824791</v>
      </c>
      <c r="CA21" s="189">
        <f t="shared" si="38"/>
        <v>0</v>
      </c>
      <c r="CB21" s="147">
        <f t="shared" si="50"/>
        <v>27714963.044889983</v>
      </c>
      <c r="CC21" s="190">
        <f t="shared" si="51"/>
        <v>0.18074804070323469</v>
      </c>
      <c r="CD21" s="148">
        <f t="shared" si="39"/>
        <v>0</v>
      </c>
      <c r="CE21" s="97"/>
      <c r="CF21" s="154">
        <f t="shared" si="40"/>
        <v>46000437.299999997</v>
      </c>
      <c r="CG21" s="189">
        <f t="shared" si="41"/>
        <v>0</v>
      </c>
      <c r="CH21" s="266">
        <f t="shared" si="42"/>
        <v>27714963.044889983</v>
      </c>
      <c r="CI21" s="155">
        <f t="shared" si="43"/>
        <v>0.18074804070323469</v>
      </c>
      <c r="CJ21" s="276">
        <f>VLOOKUP(B21,'[5]Allocation Calculations'!$B$12:$CM$49, 90, FALSE)</f>
        <v>24837287.914854791</v>
      </c>
      <c r="CK21" s="277">
        <f t="shared" si="44"/>
        <v>0.11586108515149512</v>
      </c>
      <c r="CL21" s="278">
        <f t="shared" si="52"/>
        <v>1.2767368677516808</v>
      </c>
      <c r="CM21" s="279">
        <f>'Ridership'!L11</f>
        <v>9.1954064543395955E-2</v>
      </c>
      <c r="CN21" s="278">
        <f t="shared" si="53"/>
        <v>0</v>
      </c>
      <c r="CO21" s="280"/>
    </row>
    <row r="22" spans="1:93">
      <c r="A22" s="71" t="s">
        <v>84</v>
      </c>
      <c r="B22" s="240" t="s">
        <v>88</v>
      </c>
      <c r="C22" s="27"/>
      <c r="D22" s="70">
        <f>'Op Cost - Performance'!E12</f>
        <v>1551122</v>
      </c>
      <c r="E22" s="175">
        <f>'Ridership'!$E12</f>
        <v>98845</v>
      </c>
      <c r="F22" s="175">
        <f>'Revenue Hours - Sizing'!E12</f>
        <v>21730</v>
      </c>
      <c r="G22" s="175">
        <f>'Revenue Miles - Sizing'!E12</f>
        <v>543346</v>
      </c>
      <c r="H22" s="191">
        <f t="shared" si="45"/>
        <v>2.9393846320464817E-3</v>
      </c>
      <c r="I22" s="110">
        <f t="shared" si="0"/>
        <v>2.9393846320464817E-3</v>
      </c>
      <c r="J22" s="111"/>
      <c r="K22" s="112">
        <f>'Ridership'!B12/'Revenue Hours'!B12</f>
        <v>3.1323175227328584</v>
      </c>
      <c r="L22" s="177">
        <f>'Ridership'!C12/'Revenue Hours'!C12</f>
        <v>4.5268015794669303</v>
      </c>
      <c r="M22" s="177">
        <f>'Ridership'!D12/'Revenue Hours'!D12</f>
        <v>5.0649137631094989</v>
      </c>
      <c r="N22" s="177">
        <f>'Ridership'!E12/'Revenue Hours'!E12</f>
        <v>4.5487804878048781</v>
      </c>
      <c r="O22" s="178">
        <f t="shared" si="1"/>
        <v>1.036516825268252</v>
      </c>
      <c r="P22" s="179">
        <f t="shared" si="2"/>
        <v>3.0467216270511082E-3</v>
      </c>
      <c r="Q22" s="113">
        <f t="shared" si="3"/>
        <v>3.0163240774545197E-3</v>
      </c>
      <c r="R22" s="114">
        <f>'Ridership'!B12/'Revenue Miles'!B12</f>
        <v>0.13193504175827817</v>
      </c>
      <c r="S22" s="177">
        <f>'Ridership'!C12/'Revenue Miles'!C12</f>
        <v>0.17952070654971744</v>
      </c>
      <c r="T22" s="177">
        <f>'Ridership'!D12/'Revenue Miles'!D12</f>
        <v>0.1925315860176961</v>
      </c>
      <c r="U22" s="177">
        <f>'Ridership'!E12/'Revenue Miles'!E12</f>
        <v>0.18191907182531941</v>
      </c>
      <c r="V22" s="178">
        <f t="shared" si="4"/>
        <v>1.0099471478564341</v>
      </c>
      <c r="W22" s="179">
        <f t="shared" si="5"/>
        <v>2.9686231255883783E-3</v>
      </c>
      <c r="X22" s="113">
        <f t="shared" si="6"/>
        <v>2.933897418946133E-3</v>
      </c>
      <c r="Y22" s="262">
        <f>'Op Cost - Performance'!B12/'Revenue Hours'!B12</f>
        <v>59.030916687146721</v>
      </c>
      <c r="Z22" s="263">
        <f>'Op Cost - Performance'!C12/'Revenue Hours'!C12</f>
        <v>61.540424481737411</v>
      </c>
      <c r="AA22" s="263">
        <f>'Op Cost - Performance'!D12/'Revenue Hours'!D12</f>
        <v>66.988568020279331</v>
      </c>
      <c r="AB22" s="263">
        <f>'Op Cost - Performance'!E12/'Revenue Hours'!E12</f>
        <v>71.381592268752883</v>
      </c>
      <c r="AC22" s="178">
        <f t="shared" si="7"/>
        <v>0.99934614337534777</v>
      </c>
      <c r="AD22" s="179">
        <f t="shared" si="8"/>
        <v>2.9413078256534265E-3</v>
      </c>
      <c r="AE22" s="113">
        <f t="shared" si="9"/>
        <v>2.9326351324392326E-3</v>
      </c>
      <c r="AF22" s="262">
        <f>'Op Cost - Performance'!B12/'Revenue Miles'!B12</f>
        <v>2.4864166552799274</v>
      </c>
      <c r="AG22" s="263">
        <f>'Op Cost - Performance'!C12/'Revenue Miles'!C12</f>
        <v>2.4405267804187702</v>
      </c>
      <c r="AH22" s="263">
        <f>'Op Cost - Performance'!D12/'Revenue Miles'!D12</f>
        <v>2.5464234633050489</v>
      </c>
      <c r="AI22" s="263">
        <f>'Op Cost - Performance'!E12/'Revenue Miles'!E12</f>
        <v>2.8547592142023683</v>
      </c>
      <c r="AJ22" s="178">
        <f t="shared" si="10"/>
        <v>0.98069105896434683</v>
      </c>
      <c r="AK22" s="179">
        <f t="shared" si="11"/>
        <v>2.9972585200793021E-3</v>
      </c>
      <c r="AL22" s="113">
        <f t="shared" si="12"/>
        <v>2.9941203623145671E-3</v>
      </c>
      <c r="AM22" s="262">
        <f>'Op Cost - Performance'!B12/'Ridership'!B12</f>
        <v>18.84576396189998</v>
      </c>
      <c r="AN22" s="263">
        <f>'Op Cost - Performance'!C12/'Ridership'!C12</f>
        <v>13.594681233849073</v>
      </c>
      <c r="AO22" s="263">
        <f>'Op Cost - Performance'!D12/'Ridership'!D12</f>
        <v>13.226003670228948</v>
      </c>
      <c r="AP22" s="263">
        <f>'Op Cost - Performance'!E12/'Ridership'!E12</f>
        <v>15.692468005463098</v>
      </c>
      <c r="AQ22" s="264">
        <f t="shared" si="13"/>
        <v>0.98779212168759722</v>
      </c>
      <c r="AR22" s="179">
        <f t="shared" si="14"/>
        <v>2.9757117590942907E-3</v>
      </c>
      <c r="AS22" s="115">
        <f t="shared" si="15"/>
        <v>2.9653496449608867E-3</v>
      </c>
      <c r="AT22" s="111"/>
      <c r="AU22" s="116">
        <f t="shared" si="16"/>
        <v>6.0326481549090403E-4</v>
      </c>
      <c r="AV22" s="180">
        <f t="shared" si="17"/>
        <v>5.8677948378922662E-4</v>
      </c>
      <c r="AW22" s="180">
        <f t="shared" si="18"/>
        <v>5.8652702648784652E-4</v>
      </c>
      <c r="AX22" s="180">
        <f t="shared" si="19"/>
        <v>5.9882407246291346E-4</v>
      </c>
      <c r="AY22" s="117">
        <f t="shared" si="20"/>
        <v>5.9306992899217734E-4</v>
      </c>
      <c r="AZ22" s="111"/>
      <c r="BA22" s="118">
        <f t="shared" si="21"/>
        <v>83733.269803922798</v>
      </c>
      <c r="BB22" s="181">
        <f t="shared" si="22"/>
        <v>81445.102664487611</v>
      </c>
      <c r="BC22" s="181">
        <f t="shared" si="23"/>
        <v>81410.061543594071</v>
      </c>
      <c r="BD22" s="181">
        <f t="shared" si="24"/>
        <v>83116.893836778007</v>
      </c>
      <c r="BE22" s="181">
        <f t="shared" si="25"/>
        <v>82318.217641260868</v>
      </c>
      <c r="BF22" s="119">
        <f t="shared" si="26"/>
        <v>412023.54549004335</v>
      </c>
      <c r="BH22" s="257">
        <f>'Op Cost - Performance'!E12</f>
        <v>1551122</v>
      </c>
      <c r="BI22" s="182">
        <f t="shared" si="27"/>
        <v>0.26562936086912786</v>
      </c>
      <c r="BJ22" s="183">
        <f t="shared" si="28"/>
        <v>412023.54549004335</v>
      </c>
      <c r="BK22" s="138">
        <f t="shared" si="29"/>
        <v>0</v>
      </c>
      <c r="BM22" s="52">
        <f t="shared" si="30"/>
        <v>412023.54549004335</v>
      </c>
      <c r="BN22" s="184">
        <f t="shared" si="31"/>
        <v>3.4029514419249146E-3</v>
      </c>
      <c r="BO22" s="259">
        <f t="shared" si="32"/>
        <v>5570.0626717513424</v>
      </c>
      <c r="BP22" s="259">
        <f t="shared" si="46"/>
        <v>417593.60816179472</v>
      </c>
      <c r="BQ22" s="185">
        <f t="shared" si="47"/>
        <v>0.26922035027663505</v>
      </c>
      <c r="BR22" s="142">
        <f t="shared" si="33"/>
        <v>0</v>
      </c>
      <c r="BS22" s="11"/>
      <c r="BT22" s="256">
        <f t="shared" si="34"/>
        <v>1551122</v>
      </c>
      <c r="BU22" s="186">
        <f t="shared" si="48"/>
        <v>0.26922035027663505</v>
      </c>
      <c r="BV22" s="187">
        <f t="shared" si="35"/>
        <v>417593.60816179472</v>
      </c>
      <c r="BW22" s="143">
        <f t="shared" si="36"/>
        <v>0</v>
      </c>
      <c r="BY22" s="52">
        <f t="shared" si="49"/>
        <v>417593.60816179472</v>
      </c>
      <c r="BZ22" s="188">
        <f t="shared" si="37"/>
        <v>3.4029514419249155E-3</v>
      </c>
      <c r="CA22" s="189">
        <f t="shared" si="38"/>
        <v>0</v>
      </c>
      <c r="CB22" s="147">
        <f t="shared" si="50"/>
        <v>417593.60816179472</v>
      </c>
      <c r="CC22" s="190">
        <f t="shared" si="51"/>
        <v>0.26922035027663505</v>
      </c>
      <c r="CD22" s="148">
        <f t="shared" si="39"/>
        <v>0</v>
      </c>
      <c r="CE22" s="97"/>
      <c r="CF22" s="154">
        <f t="shared" si="40"/>
        <v>465336.6</v>
      </c>
      <c r="CG22" s="189">
        <f t="shared" si="41"/>
        <v>0</v>
      </c>
      <c r="CH22" s="266">
        <f t="shared" si="42"/>
        <v>417593.60816179472</v>
      </c>
      <c r="CI22" s="155">
        <f t="shared" si="43"/>
        <v>0.26922035027663505</v>
      </c>
      <c r="CJ22" s="276">
        <f>VLOOKUP(B22,'[5]Allocation Calculations'!$B$12:$CM$49, 90, FALSE)</f>
        <v>379221.9031059001</v>
      </c>
      <c r="CK22" s="277">
        <f t="shared" si="44"/>
        <v>0.10118536071261443</v>
      </c>
      <c r="CL22" s="278">
        <f t="shared" si="52"/>
        <v>1.1150170079075963</v>
      </c>
      <c r="CM22" s="279">
        <f>'Ridership'!L12</f>
        <v>-2.9989892150224236E-2</v>
      </c>
      <c r="CN22" s="278">
        <f t="shared" si="53"/>
        <v>0</v>
      </c>
      <c r="CO22" s="280"/>
    </row>
    <row r="23" spans="1:93">
      <c r="A23" s="71" t="s">
        <v>84</v>
      </c>
      <c r="B23" s="240" t="s">
        <v>89</v>
      </c>
      <c r="C23" s="27"/>
      <c r="D23" s="70">
        <f>'Op Cost - Performance'!E13</f>
        <v>83950</v>
      </c>
      <c r="E23" s="175">
        <f>'Ridership'!$E13</f>
        <v>6249</v>
      </c>
      <c r="F23" s="175">
        <f>'Revenue Hours - Sizing'!E13</f>
        <v>953</v>
      </c>
      <c r="G23" s="175">
        <f>'Revenue Miles - Sizing'!E13</f>
        <v>13408</v>
      </c>
      <c r="H23" s="176">
        <f t="shared" si="45"/>
        <v>1.357646171439744E-4</v>
      </c>
      <c r="I23" s="110">
        <f t="shared" si="0"/>
        <v>1.357646171439744E-4</v>
      </c>
      <c r="J23" s="111"/>
      <c r="K23" s="112">
        <f>'Ridership'!B13/'Revenue Hours'!B13</f>
        <v>3.4102272727272727</v>
      </c>
      <c r="L23" s="177">
        <f>'Ridership'!C13/'Revenue Hours'!C13</f>
        <v>6.2649402390438249</v>
      </c>
      <c r="M23" s="177">
        <f>'Ridership'!D13/'Revenue Hours'!D13</f>
        <v>4.4946004319654431</v>
      </c>
      <c r="N23" s="177">
        <f>'Ridership'!E13/'Revenue Hours'!E13</f>
        <v>6.5571878279118572</v>
      </c>
      <c r="O23" s="178">
        <f t="shared" si="1"/>
        <v>1.1980721824226919</v>
      </c>
      <c r="P23" s="179">
        <f t="shared" si="2"/>
        <v>1.6265581115746262E-4</v>
      </c>
      <c r="Q23" s="113">
        <f t="shared" si="3"/>
        <v>1.6103297235166799E-4</v>
      </c>
      <c r="R23" s="114">
        <f>'Ridership'!B13/'Revenue Miles'!B13</f>
        <v>0.44282130736314002</v>
      </c>
      <c r="S23" s="177">
        <f>'Ridership'!C13/'Revenue Miles'!C13</f>
        <v>0.67765567765567769</v>
      </c>
      <c r="T23" s="177">
        <f>'Ridership'!D13/'Revenue Miles'!D13</f>
        <v>0.46347438752783965</v>
      </c>
      <c r="U23" s="177">
        <f>'Ridership'!E13/'Revenue Miles'!E13</f>
        <v>0.46606503579952269</v>
      </c>
      <c r="V23" s="178">
        <f t="shared" si="4"/>
        <v>0.95616370338709444</v>
      </c>
      <c r="W23" s="179">
        <f t="shared" si="5"/>
        <v>1.2981319911731356E-4</v>
      </c>
      <c r="X23" s="113">
        <f t="shared" si="6"/>
        <v>1.2829469882942479E-4</v>
      </c>
      <c r="Y23" s="262">
        <f>'Op Cost - Performance'!B13/'Revenue Hours'!B13</f>
        <v>76.226136363636357</v>
      </c>
      <c r="Z23" s="263">
        <f>'Op Cost - Performance'!C13/'Revenue Hours'!C13</f>
        <v>100.44621513944223</v>
      </c>
      <c r="AA23" s="263">
        <f>'Op Cost - Performance'!D13/'Revenue Hours'!D13</f>
        <v>51.327573794096473</v>
      </c>
      <c r="AB23" s="263">
        <f>'Op Cost - Performance'!E13/'Revenue Hours'!E13</f>
        <v>88.090241343126962</v>
      </c>
      <c r="AC23" s="178">
        <f t="shared" si="7"/>
        <v>1.1001575519974522</v>
      </c>
      <c r="AD23" s="179">
        <f t="shared" si="8"/>
        <v>1.2340470407850166E-4</v>
      </c>
      <c r="AE23" s="113">
        <f t="shared" si="9"/>
        <v>1.2304083494167527E-4</v>
      </c>
      <c r="AF23" s="262">
        <f>'Op Cost - Performance'!B13/'Revenue Miles'!B13</f>
        <v>9.8980374797107871</v>
      </c>
      <c r="AG23" s="263">
        <f>'Op Cost - Performance'!C13/'Revenue Miles'!C13</f>
        <v>10.864899806076277</v>
      </c>
      <c r="AH23" s="263">
        <f>'Op Cost - Performance'!D13/'Revenue Miles'!D13</f>
        <v>5.2927988121752039</v>
      </c>
      <c r="AI23" s="263">
        <f>'Op Cost - Performance'!E13/'Revenue Miles'!E13</f>
        <v>6.2611873508353222</v>
      </c>
      <c r="AJ23" s="178">
        <f t="shared" si="10"/>
        <v>0.85713128833673513</v>
      </c>
      <c r="AK23" s="179">
        <f t="shared" si="11"/>
        <v>1.5839419117160674E-4</v>
      </c>
      <c r="AL23" s="113">
        <f t="shared" si="12"/>
        <v>1.5822835096877333E-4</v>
      </c>
      <c r="AM23" s="262">
        <f>'Op Cost - Performance'!B13/'Ridership'!B13</f>
        <v>22.352215928023991</v>
      </c>
      <c r="AN23" s="263">
        <f>'Op Cost - Performance'!C13/'Ridership'!C13</f>
        <v>16.033068362480126</v>
      </c>
      <c r="AO23" s="263">
        <f>'Op Cost - Performance'!D13/'Ridership'!D13</f>
        <v>11.419830209835014</v>
      </c>
      <c r="AP23" s="263">
        <f>'Op Cost - Performance'!E13/'Ridership'!E13</f>
        <v>13.434149463914226</v>
      </c>
      <c r="AQ23" s="264">
        <f t="shared" si="13"/>
        <v>0.89320931123527314</v>
      </c>
      <c r="AR23" s="179">
        <f t="shared" si="14"/>
        <v>1.5199641946882228E-4</v>
      </c>
      <c r="AS23" s="115">
        <f t="shared" si="15"/>
        <v>1.5146713290684557E-4</v>
      </c>
      <c r="AT23" s="111"/>
      <c r="AU23" s="116">
        <f t="shared" si="16"/>
        <v>3.2206594470333599E-5</v>
      </c>
      <c r="AV23" s="180">
        <f t="shared" si="17"/>
        <v>2.5658939765884961E-5</v>
      </c>
      <c r="AW23" s="180">
        <f t="shared" si="18"/>
        <v>2.4608166988335058E-5</v>
      </c>
      <c r="AX23" s="180">
        <f t="shared" si="19"/>
        <v>3.1645670193754666E-5</v>
      </c>
      <c r="AY23" s="117">
        <f t="shared" si="20"/>
        <v>3.0293426581369115E-5</v>
      </c>
      <c r="AZ23" s="111"/>
      <c r="BA23" s="118">
        <f t="shared" si="21"/>
        <v>4470.2813673220635</v>
      </c>
      <c r="BB23" s="181">
        <f t="shared" si="22"/>
        <v>3561.4656633855084</v>
      </c>
      <c r="BC23" s="181">
        <f t="shared" si="23"/>
        <v>3415.6182043162999</v>
      </c>
      <c r="BD23" s="181">
        <f t="shared" si="24"/>
        <v>4392.4249722791437</v>
      </c>
      <c r="BE23" s="181">
        <f t="shared" si="25"/>
        <v>4204.7333046582307</v>
      </c>
      <c r="BF23" s="119">
        <f t="shared" si="26"/>
        <v>20044.523511961248</v>
      </c>
      <c r="BH23" s="257">
        <f>'Op Cost - Performance'!E13</f>
        <v>83950</v>
      </c>
      <c r="BI23" s="182">
        <f t="shared" si="27"/>
        <v>0.23876740335868074</v>
      </c>
      <c r="BJ23" s="183">
        <f t="shared" si="28"/>
        <v>20044.523511961248</v>
      </c>
      <c r="BK23" s="138">
        <f t="shared" si="29"/>
        <v>0</v>
      </c>
      <c r="BM23" s="52">
        <f t="shared" si="30"/>
        <v>20044.523511961248</v>
      </c>
      <c r="BN23" s="184">
        <f t="shared" si="31"/>
        <v>1.6555010249863185E-4</v>
      </c>
      <c r="BO23" s="259">
        <f t="shared" si="32"/>
        <v>270.97784437107003</v>
      </c>
      <c r="BP23" s="259">
        <f t="shared" si="46"/>
        <v>20315.501356332319</v>
      </c>
      <c r="BQ23" s="185">
        <f t="shared" si="47"/>
        <v>0.24199525141551304</v>
      </c>
      <c r="BR23" s="142">
        <f t="shared" si="33"/>
        <v>0</v>
      </c>
      <c r="BS23" s="11"/>
      <c r="BT23" s="256">
        <f t="shared" si="34"/>
        <v>83950</v>
      </c>
      <c r="BU23" s="186">
        <f t="shared" si="48"/>
        <v>0.24199525141551304</v>
      </c>
      <c r="BV23" s="187">
        <f t="shared" si="35"/>
        <v>20315.501356332319</v>
      </c>
      <c r="BW23" s="143">
        <f t="shared" si="36"/>
        <v>0</v>
      </c>
      <c r="BY23" s="52">
        <f t="shared" si="49"/>
        <v>20315.501356332319</v>
      </c>
      <c r="BZ23" s="188">
        <f t="shared" si="37"/>
        <v>1.6555010249863191E-4</v>
      </c>
      <c r="CA23" s="189">
        <f t="shared" si="38"/>
        <v>0</v>
      </c>
      <c r="CB23" s="147">
        <f t="shared" si="50"/>
        <v>20315.501356332319</v>
      </c>
      <c r="CC23" s="190">
        <f t="shared" si="51"/>
        <v>0.24199525141551304</v>
      </c>
      <c r="CD23" s="148">
        <f t="shared" si="39"/>
        <v>0</v>
      </c>
      <c r="CE23" s="97"/>
      <c r="CF23" s="154">
        <f t="shared" si="40"/>
        <v>25185</v>
      </c>
      <c r="CG23" s="189">
        <f t="shared" si="41"/>
        <v>0</v>
      </c>
      <c r="CH23" s="266">
        <f t="shared" si="42"/>
        <v>20315.501356332319</v>
      </c>
      <c r="CI23" s="155">
        <f t="shared" si="43"/>
        <v>0.24199525141551304</v>
      </c>
      <c r="CJ23" s="276">
        <f>VLOOKUP(B23,'[5]Allocation Calculations'!$B$12:$CM$49, 90, FALSE)</f>
        <v>21388.2</v>
      </c>
      <c r="CK23" s="277">
        <f t="shared" si="44"/>
        <v>-5.0153759721139765E-2</v>
      </c>
      <c r="CL23" s="278">
        <f t="shared" si="52"/>
        <v>-0.55267179664864452</v>
      </c>
      <c r="CM23" s="279">
        <f>'Ridership'!L13</f>
        <v>9.6107640557424319E-4</v>
      </c>
      <c r="CN23" s="278">
        <f t="shared" si="53"/>
        <v>-52.184986989845925</v>
      </c>
      <c r="CO23" s="281">
        <f>CJ23-CH23</f>
        <v>1072.6986436676816</v>
      </c>
    </row>
    <row r="24" spans="1:93">
      <c r="A24" s="71" t="s">
        <v>84</v>
      </c>
      <c r="B24" s="240" t="s">
        <v>90</v>
      </c>
      <c r="C24" s="27"/>
      <c r="D24" s="70">
        <f>'Op Cost - Performance'!E14</f>
        <v>8890738</v>
      </c>
      <c r="E24" s="175">
        <f>'Ridership'!$E14</f>
        <v>1578514</v>
      </c>
      <c r="F24" s="175">
        <f>'Revenue Hours - Sizing'!E14</f>
        <v>69229</v>
      </c>
      <c r="G24" s="175">
        <f>'Revenue Miles - Sizing'!E14</f>
        <v>1121781</v>
      </c>
      <c r="H24" s="191">
        <f t="shared" si="45"/>
        <v>1.7979102625717957E-2</v>
      </c>
      <c r="I24" s="110">
        <f t="shared" si="0"/>
        <v>1.7979102625717957E-2</v>
      </c>
      <c r="J24" s="111"/>
      <c r="K24" s="112">
        <f>'Ridership'!B14/'Revenue Hours'!B14</f>
        <v>19.466079261836335</v>
      </c>
      <c r="L24" s="177">
        <f>'Ridership'!C14/'Revenue Hours'!C14</f>
        <v>23.218467236227433</v>
      </c>
      <c r="M24" s="177">
        <f>'Ridership'!D14/'Revenue Hours'!D14</f>
        <v>20.748407596892445</v>
      </c>
      <c r="N24" s="177">
        <f>'Ridership'!E14/'Revenue Hours'!E14</f>
        <v>22.801340478701121</v>
      </c>
      <c r="O24" s="178">
        <f t="shared" si="1"/>
        <v>0.95842850985461092</v>
      </c>
      <c r="P24" s="179">
        <f t="shared" si="2"/>
        <v>1.7231684538089983E-2</v>
      </c>
      <c r="Q24" s="113">
        <f t="shared" si="3"/>
        <v>1.7059761714314864E-2</v>
      </c>
      <c r="R24" s="114">
        <f>'Ridership'!B14/'Revenue Miles'!B14</f>
        <v>1.4050534441156883</v>
      </c>
      <c r="S24" s="177">
        <f>'Ridership'!C14/'Revenue Miles'!C14</f>
        <v>1.5050852081552479</v>
      </c>
      <c r="T24" s="177">
        <f>'Ridership'!D14/'Revenue Miles'!D14</f>
        <v>1.2621167950518506</v>
      </c>
      <c r="U24" s="177">
        <f>'Ridership'!E14/'Revenue Miles'!E14</f>
        <v>1.4071498804133784</v>
      </c>
      <c r="V24" s="178">
        <f t="shared" si="4"/>
        <v>0.90953562070977512</v>
      </c>
      <c r="W24" s="179">
        <f t="shared" si="5"/>
        <v>1.6352634266487129E-2</v>
      </c>
      <c r="X24" s="113">
        <f t="shared" si="6"/>
        <v>1.6161348018168421E-2</v>
      </c>
      <c r="Y24" s="262">
        <f>'Op Cost - Performance'!B14/'Revenue Hours'!B14</f>
        <v>94.089194776382797</v>
      </c>
      <c r="Z24" s="263">
        <f>'Op Cost - Performance'!C14/'Revenue Hours'!C14</f>
        <v>110.97560428152575</v>
      </c>
      <c r="AA24" s="263">
        <f>'Op Cost - Performance'!D14/'Revenue Hours'!D14</f>
        <v>113.25195679741134</v>
      </c>
      <c r="AB24" s="263">
        <f>'Op Cost - Performance'!E14/'Revenue Hours'!E14</f>
        <v>128.42505308468995</v>
      </c>
      <c r="AC24" s="178">
        <f t="shared" si="7"/>
        <v>1.0406132279726279</v>
      </c>
      <c r="AD24" s="179">
        <f t="shared" si="8"/>
        <v>1.7277411186426773E-2</v>
      </c>
      <c r="AE24" s="113">
        <f t="shared" si="9"/>
        <v>1.7226467288121237E-2</v>
      </c>
      <c r="AF24" s="262">
        <f>'Op Cost - Performance'!B14/'Revenue Miles'!B14</f>
        <v>6.7913186521237527</v>
      </c>
      <c r="AG24" s="263">
        <f>'Op Cost - Performance'!C14/'Revenue Miles'!C14</f>
        <v>7.1937453394685633</v>
      </c>
      <c r="AH24" s="263">
        <f>'Op Cost - Performance'!D14/'Revenue Miles'!D14</f>
        <v>6.8890682853130185</v>
      </c>
      <c r="AI24" s="263">
        <f>'Op Cost - Performance'!E14/'Revenue Miles'!E14</f>
        <v>7.925555879445275</v>
      </c>
      <c r="AJ24" s="178">
        <f t="shared" si="10"/>
        <v>0.98600238362442383</v>
      </c>
      <c r="AK24" s="179">
        <f t="shared" si="11"/>
        <v>1.8234339920791046E-2</v>
      </c>
      <c r="AL24" s="113">
        <f t="shared" si="12"/>
        <v>1.8215248395977986E-2</v>
      </c>
      <c r="AM24" s="262">
        <f>'Op Cost - Performance'!B14/'Ridership'!B14</f>
        <v>4.833494896984555</v>
      </c>
      <c r="AN24" s="263">
        <f>'Op Cost - Performance'!C14/'Ridership'!C14</f>
        <v>4.779626628771263</v>
      </c>
      <c r="AO24" s="263">
        <f>'Op Cost - Performance'!D14/'Ridership'!D14</f>
        <v>5.4583445148037981</v>
      </c>
      <c r="AP24" s="263">
        <f>'Op Cost - Performance'!E14/'Ridership'!E14</f>
        <v>5.632346624736936</v>
      </c>
      <c r="AQ24" s="178">
        <f t="shared" si="13"/>
        <v>1.091762600814447</v>
      </c>
      <c r="AR24" s="179">
        <f t="shared" si="14"/>
        <v>1.6467959803995555E-2</v>
      </c>
      <c r="AS24" s="115">
        <f t="shared" si="15"/>
        <v>1.6410614572720451E-2</v>
      </c>
      <c r="AT24" s="111"/>
      <c r="AU24" s="116">
        <f t="shared" si="16"/>
        <v>3.411952342862973E-3</v>
      </c>
      <c r="AV24" s="180">
        <f t="shared" si="17"/>
        <v>3.2322696036336841E-3</v>
      </c>
      <c r="AW24" s="180">
        <f t="shared" si="18"/>
        <v>3.4452934576242478E-3</v>
      </c>
      <c r="AX24" s="180">
        <f t="shared" si="19"/>
        <v>3.6430496791955975E-3</v>
      </c>
      <c r="AY24" s="117">
        <f t="shared" si="20"/>
        <v>3.2821229145440904E-3</v>
      </c>
      <c r="AZ24" s="111"/>
      <c r="BA24" s="118">
        <f t="shared" si="21"/>
        <v>473579.62663642113</v>
      </c>
      <c r="BB24" s="181">
        <f t="shared" si="22"/>
        <v>448639.62865104084</v>
      </c>
      <c r="BC24" s="181">
        <f t="shared" si="23"/>
        <v>478207.37963341561</v>
      </c>
      <c r="BD24" s="181">
        <f t="shared" si="24"/>
        <v>505655.98036568862</v>
      </c>
      <c r="BE24" s="181">
        <f t="shared" si="25"/>
        <v>455559.27757782768</v>
      </c>
      <c r="BF24" s="119">
        <f t="shared" si="26"/>
        <v>2361641.892864394</v>
      </c>
      <c r="BH24" s="257">
        <f>'Op Cost - Performance'!E14</f>
        <v>8890738</v>
      </c>
      <c r="BI24" s="182">
        <f t="shared" si="27"/>
        <v>0.26562945537978894</v>
      </c>
      <c r="BJ24" s="183">
        <f t="shared" si="28"/>
        <v>2361641.892864394</v>
      </c>
      <c r="BK24" s="138">
        <f t="shared" si="29"/>
        <v>0</v>
      </c>
      <c r="BM24" s="52">
        <f t="shared" si="30"/>
        <v>2361641.892864394</v>
      </c>
      <c r="BN24" s="184">
        <f t="shared" si="31"/>
        <v>1.9505081135775478E-2</v>
      </c>
      <c r="BO24" s="259">
        <f t="shared" si="32"/>
        <v>31926.557342354659</v>
      </c>
      <c r="BP24" s="259">
        <f t="shared" si="46"/>
        <v>2393568.4502067487</v>
      </c>
      <c r="BQ24" s="185">
        <f t="shared" si="47"/>
        <v>0.26922044606496653</v>
      </c>
      <c r="BR24" s="142">
        <f t="shared" si="33"/>
        <v>0</v>
      </c>
      <c r="BS24" s="11"/>
      <c r="BT24" s="256">
        <f t="shared" si="34"/>
        <v>8890738</v>
      </c>
      <c r="BU24" s="186">
        <f t="shared" si="48"/>
        <v>0.26922044606496653</v>
      </c>
      <c r="BV24" s="187">
        <f t="shared" si="35"/>
        <v>2393568.4502067487</v>
      </c>
      <c r="BW24" s="143">
        <f t="shared" si="36"/>
        <v>0</v>
      </c>
      <c r="BY24" s="52">
        <f t="shared" si="49"/>
        <v>2393568.4502067487</v>
      </c>
      <c r="BZ24" s="188">
        <f t="shared" si="37"/>
        <v>1.9505081135775482E-2</v>
      </c>
      <c r="CA24" s="189">
        <f t="shared" si="38"/>
        <v>0</v>
      </c>
      <c r="CB24" s="147">
        <f t="shared" si="50"/>
        <v>2393568.4502067487</v>
      </c>
      <c r="CC24" s="190">
        <f t="shared" si="51"/>
        <v>0.26922044606496653</v>
      </c>
      <c r="CD24" s="148">
        <f t="shared" si="39"/>
        <v>0</v>
      </c>
      <c r="CE24" s="97"/>
      <c r="CF24" s="154">
        <f t="shared" si="40"/>
        <v>2667221.4</v>
      </c>
      <c r="CG24" s="189">
        <f t="shared" si="41"/>
        <v>0</v>
      </c>
      <c r="CH24" s="266">
        <f t="shared" si="42"/>
        <v>2393568.4502067487</v>
      </c>
      <c r="CI24" s="155">
        <f t="shared" si="43"/>
        <v>0.26922044606496653</v>
      </c>
      <c r="CJ24" s="276">
        <f>VLOOKUP(B24,'[5]Allocation Calculations'!$B$12:$CM$49, 90, FALSE)</f>
        <v>2231194.4929412054</v>
      </c>
      <c r="CK24" s="277">
        <f t="shared" si="44"/>
        <v>7.2774452330015699E-2</v>
      </c>
      <c r="CL24" s="278">
        <f t="shared" si="52"/>
        <v>0.80194161998981806</v>
      </c>
      <c r="CM24" s="279">
        <f>'Ridership'!L14</f>
        <v>0.10890728816440766</v>
      </c>
      <c r="CN24" s="278">
        <f t="shared" si="53"/>
        <v>0</v>
      </c>
      <c r="CO24" s="280"/>
    </row>
    <row r="25" spans="1:93">
      <c r="A25" s="71" t="s">
        <v>91</v>
      </c>
      <c r="B25" s="240" t="s">
        <v>92</v>
      </c>
      <c r="C25" s="27"/>
      <c r="D25" s="70">
        <f>'Op Cost - Performance'!E15</f>
        <v>4097893</v>
      </c>
      <c r="E25" s="175">
        <f>'Ridership'!$E15</f>
        <v>242131</v>
      </c>
      <c r="F25" s="175">
        <f>'Revenue Hours - Sizing'!E15</f>
        <v>32391</v>
      </c>
      <c r="G25" s="175">
        <f>'Revenue Miles - Sizing'!E15</f>
        <v>522819</v>
      </c>
      <c r="H25" s="176">
        <f t="shared" si="45"/>
        <v>5.8235737468698614E-3</v>
      </c>
      <c r="I25" s="110">
        <f t="shared" si="0"/>
        <v>5.8235737468698614E-3</v>
      </c>
      <c r="J25" s="111"/>
      <c r="K25" s="112">
        <f>'Ridership'!B15/'Revenue Hours'!B15</f>
        <v>6.4797153630255435</v>
      </c>
      <c r="L25" s="177">
        <f>'Ridership'!C15/'Revenue Hours'!C15</f>
        <v>7.8693923906871097</v>
      </c>
      <c r="M25" s="177">
        <f>'Ridership'!D15/'Revenue Hours'!D15</f>
        <v>7.4226101888952494</v>
      </c>
      <c r="N25" s="177">
        <f>'Ridership'!E15/'Revenue Hours'!E15</f>
        <v>7.4752554721990681</v>
      </c>
      <c r="O25" s="178">
        <f t="shared" si="1"/>
        <v>0.95114128249307706</v>
      </c>
      <c r="P25" s="179">
        <f t="shared" si="2"/>
        <v>5.5390414022908141E-3</v>
      </c>
      <c r="Q25" s="113">
        <f t="shared" si="3"/>
        <v>5.4837776446016485E-3</v>
      </c>
      <c r="R25" s="114">
        <f>'Ridership'!B15/'Revenue Miles'!B15</f>
        <v>0.42963025620782347</v>
      </c>
      <c r="S25" s="177">
        <f>'Ridership'!C15/'Revenue Miles'!C15</f>
        <v>0.50038763229943484</v>
      </c>
      <c r="T25" s="177">
        <f>'Ridership'!D15/'Revenue Miles'!D15</f>
        <v>0.45855198947621539</v>
      </c>
      <c r="U25" s="177">
        <f>'Ridership'!E15/'Revenue Miles'!E15</f>
        <v>0.4631258619139702</v>
      </c>
      <c r="V25" s="178">
        <f t="shared" si="4"/>
        <v>0.92700439026444326</v>
      </c>
      <c r="W25" s="179">
        <f t="shared" si="5"/>
        <v>5.398478430377115E-3</v>
      </c>
      <c r="X25" s="113">
        <f t="shared" si="6"/>
        <v>5.3353292968034115E-3</v>
      </c>
      <c r="Y25" s="262">
        <f>'Op Cost - Performance'!B15/'Revenue Hours'!B15</f>
        <v>89.842457403679873</v>
      </c>
      <c r="Z25" s="263">
        <f>'Op Cost - Performance'!C15/'Revenue Hours'!C15</f>
        <v>122.89167251227578</v>
      </c>
      <c r="AA25" s="263">
        <f>'Op Cost - Performance'!D15/'Revenue Hours'!D15</f>
        <v>116.41233543216943</v>
      </c>
      <c r="AB25" s="263">
        <f>'Op Cost - Performance'!E15/'Revenue Hours'!E15</f>
        <v>126.51332160167948</v>
      </c>
      <c r="AC25" s="178">
        <f t="shared" si="7"/>
        <v>1.0599977894920345</v>
      </c>
      <c r="AD25" s="179">
        <f t="shared" si="8"/>
        <v>5.4939489540450819E-3</v>
      </c>
      <c r="AE25" s="113">
        <f t="shared" si="9"/>
        <v>5.4777495840242678E-3</v>
      </c>
      <c r="AF25" s="262">
        <f>'Op Cost - Performance'!B15/'Revenue Miles'!B15</f>
        <v>5.9569033252504751</v>
      </c>
      <c r="AG25" s="263">
        <f>'Op Cost - Performance'!C15/'Revenue Miles'!C15</f>
        <v>7.8142593461864411</v>
      </c>
      <c r="AH25" s="263">
        <f>'Op Cost - Performance'!D15/'Revenue Miles'!D15</f>
        <v>7.1916895342093721</v>
      </c>
      <c r="AI25" s="263">
        <f>'Op Cost - Performance'!E15/'Revenue Miles'!E15</f>
        <v>7.8380720670059807</v>
      </c>
      <c r="AJ25" s="178">
        <f t="shared" si="10"/>
        <v>1.0321306081034063</v>
      </c>
      <c r="AK25" s="179">
        <f t="shared" si="11"/>
        <v>5.6422837392362396E-3</v>
      </c>
      <c r="AL25" s="113">
        <f t="shared" si="12"/>
        <v>5.6363762152744244E-3</v>
      </c>
      <c r="AM25" s="262">
        <f>'Op Cost - Performance'!B15/'Ridership'!B15</f>
        <v>13.865185794477576</v>
      </c>
      <c r="AN25" s="263">
        <f>'Op Cost - Performance'!C15/'Ridership'!C15</f>
        <v>15.616411841111102</v>
      </c>
      <c r="AO25" s="263">
        <f>'Op Cost - Performance'!D15/'Ridership'!D15</f>
        <v>15.683476899585882</v>
      </c>
      <c r="AP25" s="263">
        <f>'Op Cost - Performance'!E15/'Ridership'!E15</f>
        <v>16.924280657990924</v>
      </c>
      <c r="AQ25" s="264">
        <f t="shared" si="13"/>
        <v>1.1096388693538357</v>
      </c>
      <c r="AR25" s="179">
        <f t="shared" si="14"/>
        <v>5.248170290088199E-3</v>
      </c>
      <c r="AS25" s="115">
        <f t="shared" si="15"/>
        <v>5.2298949516347238E-3</v>
      </c>
      <c r="AT25" s="111"/>
      <c r="AU25" s="116">
        <f t="shared" si="16"/>
        <v>1.0967555289203297E-3</v>
      </c>
      <c r="AV25" s="180">
        <f t="shared" si="17"/>
        <v>1.0670658593606823E-3</v>
      </c>
      <c r="AW25" s="180">
        <f t="shared" si="18"/>
        <v>1.0955499168048535E-3</v>
      </c>
      <c r="AX25" s="180">
        <f t="shared" si="19"/>
        <v>1.1272752430548849E-3</v>
      </c>
      <c r="AY25" s="117">
        <f t="shared" si="20"/>
        <v>1.0459789903269447E-3</v>
      </c>
      <c r="AZ25" s="111"/>
      <c r="BA25" s="118">
        <f t="shared" si="21"/>
        <v>152229.87360418119</v>
      </c>
      <c r="BB25" s="181">
        <f t="shared" si="22"/>
        <v>148108.94188764427</v>
      </c>
      <c r="BC25" s="181">
        <f t="shared" si="23"/>
        <v>152062.53441589803</v>
      </c>
      <c r="BD25" s="181">
        <f t="shared" si="24"/>
        <v>156466.01566376371</v>
      </c>
      <c r="BE25" s="181">
        <f t="shared" si="25"/>
        <v>145182.08050143011</v>
      </c>
      <c r="BF25" s="119">
        <f t="shared" si="26"/>
        <v>754049.44607291732</v>
      </c>
      <c r="BH25" s="257">
        <f>'Op Cost - Performance'!E15</f>
        <v>4097893</v>
      </c>
      <c r="BI25" s="182">
        <f t="shared" si="27"/>
        <v>0.18400906174780973</v>
      </c>
      <c r="BJ25" s="183">
        <f t="shared" si="28"/>
        <v>754049.44607291732</v>
      </c>
      <c r="BK25" s="138">
        <f t="shared" si="29"/>
        <v>0</v>
      </c>
      <c r="BM25" s="52">
        <f t="shared" si="30"/>
        <v>754049.44607291732</v>
      </c>
      <c r="BN25" s="184">
        <f t="shared" si="31"/>
        <v>6.2277840135195016E-3</v>
      </c>
      <c r="BO25" s="259">
        <f t="shared" si="32"/>
        <v>10193.841391345995</v>
      </c>
      <c r="BP25" s="259">
        <f t="shared" si="46"/>
        <v>764243.28746426327</v>
      </c>
      <c r="BQ25" s="185">
        <f t="shared" si="47"/>
        <v>0.18649664290020829</v>
      </c>
      <c r="BR25" s="142">
        <f t="shared" si="33"/>
        <v>0</v>
      </c>
      <c r="BS25" s="11"/>
      <c r="BT25" s="256">
        <f t="shared" si="34"/>
        <v>4097893</v>
      </c>
      <c r="BU25" s="186">
        <f t="shared" si="48"/>
        <v>0.18649664290020829</v>
      </c>
      <c r="BV25" s="187">
        <f t="shared" si="35"/>
        <v>764243.28746426327</v>
      </c>
      <c r="BW25" s="143">
        <f t="shared" si="36"/>
        <v>0</v>
      </c>
      <c r="BY25" s="52">
        <f t="shared" si="49"/>
        <v>764243.28746426327</v>
      </c>
      <c r="BZ25" s="188">
        <f t="shared" si="37"/>
        <v>6.2277840135195025E-3</v>
      </c>
      <c r="CA25" s="189">
        <f t="shared" si="38"/>
        <v>0</v>
      </c>
      <c r="CB25" s="147">
        <f t="shared" si="50"/>
        <v>764243.28746426327</v>
      </c>
      <c r="CC25" s="190">
        <f t="shared" si="51"/>
        <v>0.18649664290020829</v>
      </c>
      <c r="CD25" s="148">
        <f t="shared" si="39"/>
        <v>0</v>
      </c>
      <c r="CE25" s="97"/>
      <c r="CF25" s="154">
        <f t="shared" si="40"/>
        <v>1229367.8999999999</v>
      </c>
      <c r="CG25" s="189">
        <f t="shared" si="41"/>
        <v>0</v>
      </c>
      <c r="CH25" s="266">
        <f t="shared" si="42"/>
        <v>764243.28746426327</v>
      </c>
      <c r="CI25" s="155">
        <f t="shared" si="43"/>
        <v>0.18649664290020829</v>
      </c>
      <c r="CJ25" s="276">
        <f>VLOOKUP(B25,'[5]Allocation Calculations'!$B$12:$CM$49, 90, FALSE)</f>
        <v>758875.30657787633</v>
      </c>
      <c r="CK25" s="277">
        <f t="shared" si="44"/>
        <v>7.0736006822961165E-3</v>
      </c>
      <c r="CL25" s="278">
        <f t="shared" si="52"/>
        <v>7.7947887049669623E-2</v>
      </c>
      <c r="CM25" s="279">
        <f>'Ridership'!L15</f>
        <v>-6.6378505934157464E-2</v>
      </c>
      <c r="CN25" s="278">
        <f t="shared" si="53"/>
        <v>0</v>
      </c>
      <c r="CO25" s="280"/>
    </row>
    <row r="26" spans="1:93">
      <c r="A26" s="71" t="s">
        <v>91</v>
      </c>
      <c r="B26" s="240" t="s">
        <v>93</v>
      </c>
      <c r="C26" s="27"/>
      <c r="D26" s="70">
        <f>'Op Cost - Performance'!E16</f>
        <v>749264</v>
      </c>
      <c r="E26" s="175">
        <f>'Ridership'!$E16</f>
        <v>101678</v>
      </c>
      <c r="F26" s="175">
        <f>'Revenue Hours - Sizing'!E16</f>
        <v>11641</v>
      </c>
      <c r="G26" s="175">
        <f>'Revenue Miles - Sizing'!E16</f>
        <v>170330</v>
      </c>
      <c r="H26" s="176">
        <f t="shared" si="45"/>
        <v>1.584634608718807E-3</v>
      </c>
      <c r="I26" s="110">
        <f t="shared" si="0"/>
        <v>1.584634608718807E-3</v>
      </c>
      <c r="J26" s="111"/>
      <c r="K26" s="112">
        <f>'Ridership'!B16/'Revenue Hours'!B16</f>
        <v>6.5625580805947452</v>
      </c>
      <c r="L26" s="177">
        <f>'Ridership'!C16/'Revenue Hours'!C16</f>
        <v>7.7980103806228378</v>
      </c>
      <c r="M26" s="177">
        <f>'Ridership'!D16/'Revenue Hours'!D16</f>
        <v>8.5926918609845444</v>
      </c>
      <c r="N26" s="177">
        <f>'Ridership'!E16/'Revenue Hours'!E16</f>
        <v>8.7344729834206678</v>
      </c>
      <c r="O26" s="178">
        <f t="shared" si="1"/>
        <v>0.99602789689270654</v>
      </c>
      <c r="P26" s="179">
        <f t="shared" si="2"/>
        <v>1.5783402766655903E-3</v>
      </c>
      <c r="Q26" s="113">
        <f t="shared" si="3"/>
        <v>1.5625929644023848E-3</v>
      </c>
      <c r="R26" s="114">
        <f>'Ridership'!B16/'Revenue Miles'!B16</f>
        <v>0.44629120011030743</v>
      </c>
      <c r="S26" s="177">
        <f>'Ridership'!C16/'Revenue Miles'!C16</f>
        <v>0.52648024202497345</v>
      </c>
      <c r="T26" s="177">
        <f>'Ridership'!D16/'Revenue Miles'!D16</f>
        <v>0.57041017246696557</v>
      </c>
      <c r="U26" s="177">
        <f>'Ridership'!E16/'Revenue Miles'!E16</f>
        <v>0.59694710268302709</v>
      </c>
      <c r="V26" s="178">
        <f t="shared" si="4"/>
        <v>0.99441424047509086</v>
      </c>
      <c r="W26" s="179">
        <f t="shared" si="5"/>
        <v>1.5757832208596553E-3</v>
      </c>
      <c r="X26" s="113">
        <f t="shared" si="6"/>
        <v>1.5573503704962399E-3</v>
      </c>
      <c r="Y26" s="262">
        <f>'Op Cost - Performance'!B16/'Revenue Hours'!B16</f>
        <v>51.194390470558417</v>
      </c>
      <c r="Z26" s="263">
        <f>'Op Cost - Performance'!C16/'Revenue Hours'!C16</f>
        <v>60.816435986159171</v>
      </c>
      <c r="AA26" s="263">
        <f>'Op Cost - Performance'!D16/'Revenue Hours'!D16</f>
        <v>62.393102832127219</v>
      </c>
      <c r="AB26" s="263">
        <f>'Op Cost - Performance'!E16/'Revenue Hours'!E16</f>
        <v>64.364229877158323</v>
      </c>
      <c r="AC26" s="178">
        <f t="shared" si="7"/>
        <v>1.0131282232661558</v>
      </c>
      <c r="AD26" s="179">
        <f t="shared" si="8"/>
        <v>1.5641007449286235E-3</v>
      </c>
      <c r="AE26" s="113">
        <f t="shared" si="9"/>
        <v>1.559488862486892E-3</v>
      </c>
      <c r="AF26" s="262">
        <f>'Op Cost - Performance'!B16/'Revenue Miles'!B16</f>
        <v>3.4815091434513583</v>
      </c>
      <c r="AG26" s="263">
        <f>'Op Cost - Performance'!C16/'Revenue Miles'!C16</f>
        <v>4.1060027332936189</v>
      </c>
      <c r="AH26" s="263">
        <f>'Op Cost - Performance'!D16/'Revenue Miles'!D16</f>
        <v>4.1418522999549259</v>
      </c>
      <c r="AI26" s="263">
        <f>'Op Cost - Performance'!E16/'Revenue Miles'!E16</f>
        <v>4.3988962602007868</v>
      </c>
      <c r="AJ26" s="178">
        <f t="shared" si="10"/>
        <v>1.0114972297519476</v>
      </c>
      <c r="AK26" s="179">
        <f t="shared" si="11"/>
        <v>1.5666227866065552E-3</v>
      </c>
      <c r="AL26" s="113">
        <f t="shared" si="12"/>
        <v>1.564982517864548E-3</v>
      </c>
      <c r="AM26" s="262">
        <f>'Op Cost - Performance'!B16/'Ridership'!B16</f>
        <v>7.8009809348489334</v>
      </c>
      <c r="AN26" s="263">
        <f>'Op Cost - Performance'!C16/'Ridership'!C16</f>
        <v>7.7989683288035945</v>
      </c>
      <c r="AO26" s="263">
        <f>'Op Cost - Performance'!D16/'Ridership'!D16</f>
        <v>7.261182390983385</v>
      </c>
      <c r="AP26" s="263">
        <f>'Op Cost - Performance'!E16/'Ridership'!E16</f>
        <v>7.3689883750663858</v>
      </c>
      <c r="AQ26" s="264">
        <f t="shared" si="13"/>
        <v>1.017407198644886</v>
      </c>
      <c r="AR26" s="179">
        <f t="shared" si="14"/>
        <v>1.5575225050790161E-3</v>
      </c>
      <c r="AS26" s="115">
        <f t="shared" si="15"/>
        <v>1.5520988527667082E-3</v>
      </c>
      <c r="AT26" s="111"/>
      <c r="AU26" s="116">
        <f t="shared" si="16"/>
        <v>3.1251859288047699E-4</v>
      </c>
      <c r="AV26" s="180">
        <f t="shared" si="17"/>
        <v>3.11470074099248E-4</v>
      </c>
      <c r="AW26" s="180">
        <f t="shared" si="18"/>
        <v>3.118977724973784E-4</v>
      </c>
      <c r="AX26" s="180">
        <f t="shared" si="19"/>
        <v>3.1299650357290962E-4</v>
      </c>
      <c r="AY26" s="117">
        <f t="shared" si="20"/>
        <v>3.1041977055334166E-4</v>
      </c>
      <c r="AZ26" s="111"/>
      <c r="BA26" s="118">
        <f t="shared" si="21"/>
        <v>43377.639445305671</v>
      </c>
      <c r="BB26" s="181">
        <f t="shared" si="22"/>
        <v>43232.104841349552</v>
      </c>
      <c r="BC26" s="181">
        <f t="shared" si="23"/>
        <v>43291.469459417349</v>
      </c>
      <c r="BD26" s="181">
        <f t="shared" si="24"/>
        <v>43443.97353926253</v>
      </c>
      <c r="BE26" s="181">
        <f t="shared" si="25"/>
        <v>43086.322511720689</v>
      </c>
      <c r="BF26" s="119">
        <f t="shared" si="26"/>
        <v>216431.5097970558</v>
      </c>
      <c r="BH26" s="257">
        <f>'Op Cost - Performance'!E16</f>
        <v>749264</v>
      </c>
      <c r="BI26" s="182">
        <f t="shared" si="27"/>
        <v>0.28885881317807316</v>
      </c>
      <c r="BJ26" s="183">
        <f t="shared" si="28"/>
        <v>216431.5097970558</v>
      </c>
      <c r="BK26" s="138">
        <f t="shared" si="29"/>
        <v>0</v>
      </c>
      <c r="BM26" s="52">
        <f t="shared" si="30"/>
        <v>216431.5097970558</v>
      </c>
      <c r="BN26" s="184">
        <f t="shared" si="31"/>
        <v>1.7875335679321635E-3</v>
      </c>
      <c r="BO26" s="259">
        <f t="shared" si="32"/>
        <v>2925.893645902082</v>
      </c>
      <c r="BP26" s="259">
        <f t="shared" si="46"/>
        <v>219357.40344295788</v>
      </c>
      <c r="BQ26" s="185">
        <f t="shared" si="47"/>
        <v>0.29276383683582541</v>
      </c>
      <c r="BR26" s="142">
        <f t="shared" si="33"/>
        <v>0</v>
      </c>
      <c r="BS26" s="11"/>
      <c r="BT26" s="256">
        <f t="shared" si="34"/>
        <v>749264</v>
      </c>
      <c r="BU26" s="186">
        <f t="shared" si="48"/>
        <v>0.29276383683582541</v>
      </c>
      <c r="BV26" s="187">
        <f t="shared" si="35"/>
        <v>219357.40344295788</v>
      </c>
      <c r="BW26" s="143">
        <f t="shared" si="36"/>
        <v>0</v>
      </c>
      <c r="BY26" s="52">
        <f t="shared" si="49"/>
        <v>219357.40344295788</v>
      </c>
      <c r="BZ26" s="188">
        <f t="shared" si="37"/>
        <v>1.787533567932164E-3</v>
      </c>
      <c r="CA26" s="189">
        <f t="shared" si="38"/>
        <v>0</v>
      </c>
      <c r="CB26" s="147">
        <f t="shared" si="50"/>
        <v>219357.40344295788</v>
      </c>
      <c r="CC26" s="190">
        <f t="shared" si="51"/>
        <v>0.29276383683582541</v>
      </c>
      <c r="CD26" s="148">
        <f t="shared" si="39"/>
        <v>0</v>
      </c>
      <c r="CE26" s="97"/>
      <c r="CF26" s="154">
        <f t="shared" si="40"/>
        <v>224779.19999999998</v>
      </c>
      <c r="CG26" s="189">
        <f t="shared" si="41"/>
        <v>0</v>
      </c>
      <c r="CH26" s="266">
        <f t="shared" si="42"/>
        <v>219357.40344295788</v>
      </c>
      <c r="CI26" s="155">
        <f t="shared" si="43"/>
        <v>0.29276383683582541</v>
      </c>
      <c r="CJ26" s="276">
        <f>VLOOKUP(B26,'[5]Allocation Calculations'!$B$12:$CM$49, 90, FALSE)</f>
        <v>196084.59305415963</v>
      </c>
      <c r="CK26" s="277">
        <f t="shared" si="44"/>
        <v>0.11868760327523625</v>
      </c>
      <c r="CL26" s="278">
        <f t="shared" si="52"/>
        <v>1.3078838218064439</v>
      </c>
      <c r="CM26" s="279">
        <f>'Ridership'!L16</f>
        <v>5.7185634968495914E-2</v>
      </c>
      <c r="CN26" s="278">
        <f t="shared" si="53"/>
        <v>0</v>
      </c>
      <c r="CO26" s="280"/>
    </row>
    <row r="27" spans="1:93">
      <c r="A27" s="71" t="s">
        <v>91</v>
      </c>
      <c r="B27" s="240" t="s">
        <v>94</v>
      </c>
      <c r="C27" s="27"/>
      <c r="D27" s="70">
        <f>'Op Cost - Performance'!E17</f>
        <v>9104264</v>
      </c>
      <c r="E27" s="175">
        <f>'Ridership'!$E17</f>
        <v>704093</v>
      </c>
      <c r="F27" s="175">
        <f>'Revenue Hours - Sizing'!E17</f>
        <v>82740</v>
      </c>
      <c r="G27" s="175">
        <f>'Revenue Miles - Sizing'!E17</f>
        <v>1183040</v>
      </c>
      <c r="H27" s="176">
        <f t="shared" si="45"/>
        <v>1.4040089340883506E-2</v>
      </c>
      <c r="I27" s="110">
        <f t="shared" si="0"/>
        <v>1.4040089340883506E-2</v>
      </c>
      <c r="J27" s="111"/>
      <c r="K27" s="112">
        <f>'Ridership'!B17/'Revenue Hours'!B17</f>
        <v>5.9993407953505891</v>
      </c>
      <c r="L27" s="177">
        <f>'Ridership'!C17/'Revenue Hours'!C17</f>
        <v>6.5244789507405869</v>
      </c>
      <c r="M27" s="177">
        <f>'Ridership'!D17/'Revenue Hours'!D17</f>
        <v>7.3199482146995152</v>
      </c>
      <c r="N27" s="177">
        <f>'Ridership'!E17/'Revenue Hours'!E17</f>
        <v>8.5097051003142372</v>
      </c>
      <c r="O27" s="178">
        <f t="shared" si="1"/>
        <v>1.0196950540848473</v>
      </c>
      <c r="P27" s="179">
        <f t="shared" si="2"/>
        <v>1.4316609659808294E-2</v>
      </c>
      <c r="Q27" s="113">
        <f t="shared" si="3"/>
        <v>1.4173770928391196E-2</v>
      </c>
      <c r="R27" s="114">
        <f>'Ridership'!B17/'Revenue Miles'!B17</f>
        <v>0.41539215330115964</v>
      </c>
      <c r="S27" s="177">
        <f>'Ridership'!C17/'Revenue Miles'!C17</f>
        <v>0.45126387982562621</v>
      </c>
      <c r="T27" s="177">
        <f>'Ridership'!D17/'Revenue Miles'!D17</f>
        <v>0.50592792787142582</v>
      </c>
      <c r="U27" s="177">
        <f>'Ridership'!E17/'Revenue Miles'!E17</f>
        <v>0.59515570056802813</v>
      </c>
      <c r="V27" s="178">
        <f t="shared" si="4"/>
        <v>1.0205889312345129</v>
      </c>
      <c r="W27" s="179">
        <f t="shared" si="5"/>
        <v>1.4329159774849373E-2</v>
      </c>
      <c r="X27" s="113">
        <f t="shared" si="6"/>
        <v>1.4161543281370545E-2</v>
      </c>
      <c r="Y27" s="262">
        <f>'Op Cost - Performance'!B17/'Revenue Hours'!B17</f>
        <v>103.53699617930367</v>
      </c>
      <c r="Z27" s="263">
        <f>'Op Cost - Performance'!C17/'Revenue Hours'!C17</f>
        <v>108.98527619693715</v>
      </c>
      <c r="AA27" s="263">
        <f>'Op Cost - Performance'!D17/'Revenue Hours'!D17</f>
        <v>112.5272881486005</v>
      </c>
      <c r="AB27" s="263">
        <f>'Op Cost - Performance'!E17/'Revenue Hours'!E17</f>
        <v>110.03461445491902</v>
      </c>
      <c r="AC27" s="178">
        <f t="shared" si="7"/>
        <v>0.95717931786468891</v>
      </c>
      <c r="AD27" s="179">
        <f t="shared" si="8"/>
        <v>1.4668191297953092E-2</v>
      </c>
      <c r="AE27" s="113">
        <f t="shared" si="9"/>
        <v>1.4624940903681286E-2</v>
      </c>
      <c r="AF27" s="262">
        <f>'Op Cost - Performance'!B17/'Revenue Miles'!B17</f>
        <v>7.168863589577354</v>
      </c>
      <c r="AG27" s="263">
        <f>'Op Cost - Performance'!C17/'Revenue Miles'!C17</f>
        <v>7.537938117635405</v>
      </c>
      <c r="AH27" s="263">
        <f>'Op Cost - Performance'!D17/'Revenue Miles'!D17</f>
        <v>7.7774727432753172</v>
      </c>
      <c r="AI27" s="263">
        <f>'Op Cost - Performance'!E17/'Revenue Miles'!E17</f>
        <v>7.6956518799026234</v>
      </c>
      <c r="AJ27" s="178">
        <f t="shared" si="10"/>
        <v>0.9574291622295461</v>
      </c>
      <c r="AK27" s="179">
        <f t="shared" si="11"/>
        <v>1.466436358402603E-2</v>
      </c>
      <c r="AL27" s="113">
        <f t="shared" si="12"/>
        <v>1.4649009857900032E-2</v>
      </c>
      <c r="AM27" s="262">
        <f>'Op Cost - Performance'!B17/'Ridership'!B17</f>
        <v>17.258062129016487</v>
      </c>
      <c r="AN27" s="263">
        <f>'Op Cost - Performance'!C17/'Ridership'!C17</f>
        <v>16.704058212122263</v>
      </c>
      <c r="AO27" s="263">
        <f>'Op Cost - Performance'!D17/'Ridership'!D17</f>
        <v>15.372689102175535</v>
      </c>
      <c r="AP27" s="263">
        <f>'Op Cost - Performance'!E17/'Ridership'!E17</f>
        <v>12.930485035357545</v>
      </c>
      <c r="AQ27" s="178">
        <f t="shared" si="13"/>
        <v>0.94483437180478624</v>
      </c>
      <c r="AR27" s="179">
        <f t="shared" si="14"/>
        <v>1.4859841851503209E-2</v>
      </c>
      <c r="AS27" s="115">
        <f t="shared" si="15"/>
        <v>1.4808096457548629E-2</v>
      </c>
      <c r="AT27" s="111"/>
      <c r="AU27" s="116">
        <f t="shared" si="16"/>
        <v>2.8347541856782394E-3</v>
      </c>
      <c r="AV27" s="180">
        <f t="shared" si="17"/>
        <v>2.8323086562741092E-3</v>
      </c>
      <c r="AW27" s="180">
        <f t="shared" si="18"/>
        <v>2.9249881807362575E-3</v>
      </c>
      <c r="AX27" s="180">
        <f t="shared" si="19"/>
        <v>2.9298019715800067E-3</v>
      </c>
      <c r="AY27" s="117">
        <f t="shared" si="20"/>
        <v>2.9616192915097261E-3</v>
      </c>
      <c r="AZ27" s="111"/>
      <c r="BA27" s="118">
        <f t="shared" si="21"/>
        <v>393464.41390592651</v>
      </c>
      <c r="BB27" s="181">
        <f t="shared" si="22"/>
        <v>393124.97396487376</v>
      </c>
      <c r="BC27" s="181">
        <f t="shared" si="23"/>
        <v>405988.90938397049</v>
      </c>
      <c r="BD27" s="181">
        <f t="shared" si="24"/>
        <v>406657.06445807556</v>
      </c>
      <c r="BE27" s="181">
        <f t="shared" si="25"/>
        <v>411073.31444597681</v>
      </c>
      <c r="BF27" s="119">
        <f t="shared" si="26"/>
        <v>2010308.6761588233</v>
      </c>
      <c r="BH27" s="257">
        <f>'Op Cost - Performance'!E17</f>
        <v>9104264</v>
      </c>
      <c r="BI27" s="182">
        <f t="shared" si="27"/>
        <v>0.22080957627753581</v>
      </c>
      <c r="BJ27" s="183">
        <f t="shared" si="28"/>
        <v>2010308.6761588233</v>
      </c>
      <c r="BK27" s="138">
        <f t="shared" si="29"/>
        <v>0</v>
      </c>
      <c r="BM27" s="52">
        <f t="shared" si="30"/>
        <v>2010308.6761588233</v>
      </c>
      <c r="BN27" s="184">
        <f t="shared" si="31"/>
        <v>1.6603378333906765E-2</v>
      </c>
      <c r="BO27" s="259">
        <f t="shared" si="32"/>
        <v>27176.954905458701</v>
      </c>
      <c r="BP27" s="259">
        <f t="shared" si="46"/>
        <v>2037485.631064282</v>
      </c>
      <c r="BQ27" s="185">
        <f t="shared" si="47"/>
        <v>0.22379465611545118</v>
      </c>
      <c r="BR27" s="142">
        <f t="shared" si="33"/>
        <v>0</v>
      </c>
      <c r="BS27" s="11"/>
      <c r="BT27" s="256">
        <f t="shared" si="34"/>
        <v>9104264</v>
      </c>
      <c r="BU27" s="186">
        <f t="shared" si="48"/>
        <v>0.22379465611545118</v>
      </c>
      <c r="BV27" s="187">
        <f t="shared" si="35"/>
        <v>2037485.631064282</v>
      </c>
      <c r="BW27" s="143">
        <f t="shared" si="36"/>
        <v>0</v>
      </c>
      <c r="BY27" s="52">
        <f t="shared" si="49"/>
        <v>2037485.631064282</v>
      </c>
      <c r="BZ27" s="188">
        <f t="shared" si="37"/>
        <v>1.6603378333906769E-2</v>
      </c>
      <c r="CA27" s="189">
        <f t="shared" si="38"/>
        <v>0</v>
      </c>
      <c r="CB27" s="147">
        <f t="shared" si="50"/>
        <v>2037485.631064282</v>
      </c>
      <c r="CC27" s="190">
        <f t="shared" si="51"/>
        <v>0.22379465611545118</v>
      </c>
      <c r="CD27" s="148">
        <f t="shared" si="39"/>
        <v>0</v>
      </c>
      <c r="CE27" s="97"/>
      <c r="CF27" s="154">
        <f t="shared" si="40"/>
        <v>2731279.1999999997</v>
      </c>
      <c r="CG27" s="189">
        <f t="shared" si="41"/>
        <v>0</v>
      </c>
      <c r="CH27" s="266">
        <f t="shared" si="42"/>
        <v>2037485.631064282</v>
      </c>
      <c r="CI27" s="155">
        <f t="shared" si="43"/>
        <v>0.22379465611545118</v>
      </c>
      <c r="CJ27" s="276">
        <f>VLOOKUP(B27,'[5]Allocation Calculations'!$B$12:$CM$49, 90, FALSE)</f>
        <v>1666636.1229349524</v>
      </c>
      <c r="CK27" s="277">
        <f t="shared" si="44"/>
        <v>0.22251378271836705</v>
      </c>
      <c r="CL27" s="278">
        <f t="shared" si="52"/>
        <v>2.4520014602656257</v>
      </c>
      <c r="CM27" s="279">
        <f>'Ridership'!L17</f>
        <v>0.20224400622215696</v>
      </c>
      <c r="CN27" s="278">
        <f t="shared" si="53"/>
        <v>0</v>
      </c>
      <c r="CO27" s="280"/>
    </row>
    <row r="28" spans="1:93">
      <c r="A28" s="71" t="s">
        <v>91</v>
      </c>
      <c r="B28" s="240" t="s">
        <v>95</v>
      </c>
      <c r="C28" s="27"/>
      <c r="D28" s="70">
        <f>'Op Cost - Performance'!E18</f>
        <v>176795</v>
      </c>
      <c r="E28" s="175">
        <f>'Ridership'!$E18</f>
        <v>15947</v>
      </c>
      <c r="F28" s="175">
        <f>'Revenue Hours - Sizing'!E18</f>
        <v>3083</v>
      </c>
      <c r="G28" s="175">
        <f>'Revenue Miles - Sizing'!E18</f>
        <v>52054</v>
      </c>
      <c r="H28" s="191">
        <f t="shared" si="45"/>
        <v>3.5698750920754371E-4</v>
      </c>
      <c r="I28" s="110">
        <f t="shared" si="0"/>
        <v>3.5698750920754371E-4</v>
      </c>
      <c r="J28" s="111"/>
      <c r="K28" s="112">
        <f>'Ridership'!B18/'Revenue Hours'!B18</f>
        <v>4.8892540256325994</v>
      </c>
      <c r="L28" s="177">
        <f>'Ridership'!C18/'Revenue Hours'!C18</f>
        <v>4.7219286657859971</v>
      </c>
      <c r="M28" s="177">
        <f>'Ridership'!D18/'Revenue Hours'!D18</f>
        <v>5.099201065246338</v>
      </c>
      <c r="N28" s="177">
        <f>'Ridership'!E18/'Revenue Hours'!E18</f>
        <v>5.172559195588712</v>
      </c>
      <c r="O28" s="178">
        <f t="shared" si="1"/>
        <v>0.92586426258690502</v>
      </c>
      <c r="P28" s="179">
        <f t="shared" si="2"/>
        <v>3.3052197696517842E-4</v>
      </c>
      <c r="Q28" s="113">
        <f t="shared" si="3"/>
        <v>3.2722431494763273E-4</v>
      </c>
      <c r="R28" s="114">
        <f>'Ridership'!B18/'Revenue Miles'!B18</f>
        <v>0.30552817479875144</v>
      </c>
      <c r="S28" s="177">
        <f>'Ridership'!C18/'Revenue Miles'!C18</f>
        <v>0.29334044561158756</v>
      </c>
      <c r="T28" s="177">
        <f>'Ridership'!D18/'Revenue Miles'!D18</f>
        <v>0.30213613680743212</v>
      </c>
      <c r="U28" s="177">
        <f>'Ridership'!E18/'Revenue Miles'!E18</f>
        <v>0.30635493910170208</v>
      </c>
      <c r="V28" s="178">
        <f t="shared" si="4"/>
        <v>0.90606271703736574</v>
      </c>
      <c r="W28" s="179">
        <f t="shared" si="5"/>
        <v>3.234530725409887E-4</v>
      </c>
      <c r="X28" s="113">
        <f t="shared" si="6"/>
        <v>3.1966945433335075E-4</v>
      </c>
      <c r="Y28" s="262">
        <f>'Op Cost - Performance'!B18/'Revenue Hours'!B18</f>
        <v>35.43739730529083</v>
      </c>
      <c r="Z28" s="263">
        <f>'Op Cost - Performance'!C18/'Revenue Hours'!C18</f>
        <v>58.537318361955087</v>
      </c>
      <c r="AA28" s="263">
        <f>'Op Cost - Performance'!D18/'Revenue Hours'!D18</f>
        <v>55.163115845539281</v>
      </c>
      <c r="AB28" s="263">
        <f>'Op Cost - Performance'!E18/'Revenue Hours'!E18</f>
        <v>57.345118391177422</v>
      </c>
      <c r="AC28" s="178">
        <f t="shared" si="7"/>
        <v>1.1305432963501958</v>
      </c>
      <c r="AD28" s="179">
        <f t="shared" si="8"/>
        <v>3.1576633142669461E-4</v>
      </c>
      <c r="AE28" s="113">
        <f t="shared" si="9"/>
        <v>3.1483526787192138E-4</v>
      </c>
      <c r="AF28" s="262">
        <f>'Op Cost - Performance'!B18/'Revenue Miles'!B18</f>
        <v>2.2144734680466569</v>
      </c>
      <c r="AG28" s="263">
        <f>'Op Cost - Performance'!C18/'Revenue Miles'!C18</f>
        <v>3.6365147101062738</v>
      </c>
      <c r="AH28" s="263">
        <f>'Op Cost - Performance'!D18/'Revenue Miles'!D18</f>
        <v>3.2685062821751907</v>
      </c>
      <c r="AI28" s="263">
        <f>'Op Cost - Performance'!E18/'Revenue Miles'!E18</f>
        <v>3.3963768394359701</v>
      </c>
      <c r="AJ28" s="178">
        <f t="shared" si="10"/>
        <v>1.1100474197898198</v>
      </c>
      <c r="AK28" s="179">
        <f t="shared" si="11"/>
        <v>3.2159662987652995E-4</v>
      </c>
      <c r="AL28" s="113">
        <f t="shared" si="12"/>
        <v>3.2125991519062658E-4</v>
      </c>
      <c r="AM28" s="262">
        <f>'Op Cost - Performance'!B18/'Ridership'!B18</f>
        <v>7.2480172066137918</v>
      </c>
      <c r="AN28" s="263">
        <f>'Op Cost - Performance'!C18/'Ridership'!C18</f>
        <v>12.396908658553643</v>
      </c>
      <c r="AO28" s="263">
        <f>'Op Cost - Performance'!D18/'Ridership'!D18</f>
        <v>10.817991904948427</v>
      </c>
      <c r="AP28" s="263">
        <f>'Op Cost - Performance'!E18/'Ridership'!E18</f>
        <v>11.086411237223302</v>
      </c>
      <c r="AQ28" s="264">
        <f t="shared" si="13"/>
        <v>1.2576314235290014</v>
      </c>
      <c r="AR28" s="179">
        <f t="shared" si="14"/>
        <v>2.8385702084781874E-4</v>
      </c>
      <c r="AS28" s="115">
        <f t="shared" si="15"/>
        <v>2.8286856528299335E-4</v>
      </c>
      <c r="AT28" s="111"/>
      <c r="AU28" s="116">
        <f t="shared" si="16"/>
        <v>6.5444862989526552E-5</v>
      </c>
      <c r="AV28" s="180">
        <f t="shared" si="17"/>
        <v>6.3933890866670146E-5</v>
      </c>
      <c r="AW28" s="180">
        <f t="shared" si="18"/>
        <v>6.2967053574384277E-5</v>
      </c>
      <c r="AX28" s="180">
        <f t="shared" si="19"/>
        <v>6.4251983038125313E-5</v>
      </c>
      <c r="AY28" s="117">
        <f t="shared" si="20"/>
        <v>5.6573713056598673E-5</v>
      </c>
      <c r="AZ28" s="111"/>
      <c r="BA28" s="118">
        <f t="shared" si="21"/>
        <v>9083.7592865805273</v>
      </c>
      <c r="BB28" s="181">
        <f t="shared" si="22"/>
        <v>8874.0360718652992</v>
      </c>
      <c r="BC28" s="181">
        <f t="shared" si="23"/>
        <v>8739.8388739306101</v>
      </c>
      <c r="BD28" s="181">
        <f t="shared" si="24"/>
        <v>8918.187325064604</v>
      </c>
      <c r="BE28" s="181">
        <f t="shared" si="25"/>
        <v>7852.4420081139506</v>
      </c>
      <c r="BF28" s="119">
        <f t="shared" si="26"/>
        <v>43468.263565554997</v>
      </c>
      <c r="BH28" s="257">
        <f>'Op Cost - Performance'!E18</f>
        <v>176795</v>
      </c>
      <c r="BI28" s="182">
        <f t="shared" si="27"/>
        <v>0.24586817254761162</v>
      </c>
      <c r="BJ28" s="183">
        <f t="shared" si="28"/>
        <v>43468.263565554997</v>
      </c>
      <c r="BK28" s="138">
        <f t="shared" si="29"/>
        <v>0</v>
      </c>
      <c r="BM28" s="52">
        <f t="shared" si="30"/>
        <v>43468.263565554997</v>
      </c>
      <c r="BN28" s="184">
        <f t="shared" si="31"/>
        <v>3.5900955612244771E-4</v>
      </c>
      <c r="BO28" s="259">
        <f t="shared" si="32"/>
        <v>587.63863119613313</v>
      </c>
      <c r="BP28" s="259">
        <f t="shared" si="46"/>
        <v>44055.902196751129</v>
      </c>
      <c r="BQ28" s="185">
        <f t="shared" si="47"/>
        <v>0.24919201446167102</v>
      </c>
      <c r="BR28" s="142">
        <f t="shared" si="33"/>
        <v>0</v>
      </c>
      <c r="BS28" s="11"/>
      <c r="BT28" s="256">
        <f t="shared" si="34"/>
        <v>176795</v>
      </c>
      <c r="BU28" s="186">
        <f t="shared" si="48"/>
        <v>0.24919201446167102</v>
      </c>
      <c r="BV28" s="187">
        <f t="shared" si="35"/>
        <v>44055.902196751129</v>
      </c>
      <c r="BW28" s="143">
        <f t="shared" si="36"/>
        <v>0</v>
      </c>
      <c r="BY28" s="52">
        <f t="shared" si="49"/>
        <v>44055.902196751129</v>
      </c>
      <c r="BZ28" s="188">
        <f t="shared" si="37"/>
        <v>3.5900955612244777E-4</v>
      </c>
      <c r="CA28" s="189">
        <f t="shared" si="38"/>
        <v>0</v>
      </c>
      <c r="CB28" s="147">
        <f t="shared" si="50"/>
        <v>44055.902196751129</v>
      </c>
      <c r="CC28" s="190">
        <f t="shared" si="51"/>
        <v>0.24919201446167102</v>
      </c>
      <c r="CD28" s="148">
        <f t="shared" si="39"/>
        <v>0</v>
      </c>
      <c r="CE28" s="97"/>
      <c r="CF28" s="154">
        <f t="shared" si="40"/>
        <v>53038.5</v>
      </c>
      <c r="CG28" s="189">
        <f t="shared" si="41"/>
        <v>0</v>
      </c>
      <c r="CH28" s="266">
        <f t="shared" si="42"/>
        <v>44055.902196751129</v>
      </c>
      <c r="CI28" s="155">
        <f t="shared" si="43"/>
        <v>0.24919201446167102</v>
      </c>
      <c r="CJ28" s="276">
        <f>VLOOKUP(B28,'[5]Allocation Calculations'!$B$12:$CM$49, 90, FALSE)</f>
        <v>41490.080005839591</v>
      </c>
      <c r="CK28" s="277">
        <f t="shared" si="44"/>
        <v>6.184182316713796E-2</v>
      </c>
      <c r="CL28" s="278">
        <f t="shared" si="52"/>
        <v>0.681468980747296</v>
      </c>
      <c r="CM28" s="279">
        <f>'Ridership'!L18</f>
        <v>4.1062801932367152E-2</v>
      </c>
      <c r="CN28" s="278">
        <f t="shared" si="53"/>
        <v>0</v>
      </c>
      <c r="CO28" s="280"/>
    </row>
    <row r="29" spans="1:93">
      <c r="A29" s="71" t="s">
        <v>96</v>
      </c>
      <c r="B29" s="240" t="s">
        <v>165</v>
      </c>
      <c r="C29" s="27"/>
      <c r="D29" s="70">
        <f>'Op Cost - Performance'!E19</f>
        <v>27572539</v>
      </c>
      <c r="E29" s="175">
        <f>'Ridership'!$E19</f>
        <v>819623</v>
      </c>
      <c r="F29" s="175">
        <f>'Revenue Hours - Sizing'!E19</f>
        <v>188868</v>
      </c>
      <c r="G29" s="175">
        <f>'Revenue Miles - Sizing'!E19</f>
        <v>3946627</v>
      </c>
      <c r="H29" s="191">
        <f t="shared" si="45"/>
        <v>3.5074292182587376E-2</v>
      </c>
      <c r="I29" s="110">
        <f t="shared" si="0"/>
        <v>3.5074292182587376E-2</v>
      </c>
      <c r="J29" s="111"/>
      <c r="K29" s="112">
        <f>'Ridership'!B19/'Revenue Hours'!B19</f>
        <v>4.7546665463609399</v>
      </c>
      <c r="L29" s="177">
        <f>'Ridership'!C19/'Revenue Hours'!C19</f>
        <v>4.8706758029662192</v>
      </c>
      <c r="M29" s="177">
        <f>'Ridership'!D19/'Revenue Hours'!D19</f>
        <v>4.3147563923959691</v>
      </c>
      <c r="N29" s="177">
        <f>'Ridership'!E19/'Revenue Hours'!E19</f>
        <v>4.7672455911777023</v>
      </c>
      <c r="O29" s="178">
        <f t="shared" si="1"/>
        <v>0.91045925210020562</v>
      </c>
      <c r="P29" s="179">
        <f t="shared" si="2"/>
        <v>3.1933713828502588E-2</v>
      </c>
      <c r="Q29" s="113">
        <f t="shared" si="3"/>
        <v>3.1615106890052258E-2</v>
      </c>
      <c r="R29" s="114">
        <f>'Ridership'!B19/'Revenue Miles'!B19</f>
        <v>0.23157738033111441</v>
      </c>
      <c r="S29" s="177">
        <f>'Ridership'!C19/'Revenue Miles'!C19</f>
        <v>0.2523477615168061</v>
      </c>
      <c r="T29" s="177">
        <f>'Ridership'!D19/'Revenue Miles'!D19</f>
        <v>0.20888021254685754</v>
      </c>
      <c r="U29" s="177">
        <f>'Ridership'!E19/'Revenue Miles'!E19</f>
        <v>0.24089611073621148</v>
      </c>
      <c r="V29" s="178">
        <f t="shared" si="4"/>
        <v>0.92338773255599982</v>
      </c>
      <c r="W29" s="179">
        <f t="shared" si="5"/>
        <v>3.2387171129485984E-2</v>
      </c>
      <c r="X29" s="113">
        <f t="shared" si="6"/>
        <v>3.2008319602688753E-2</v>
      </c>
      <c r="Y29" s="262">
        <f>'Op Cost - Performance'!B19/'Revenue Hours'!B19</f>
        <v>176.47999729312113</v>
      </c>
      <c r="Z29" s="263">
        <f>'Op Cost - Performance'!C19/'Revenue Hours'!C19</f>
        <v>174.30295698428236</v>
      </c>
      <c r="AA29" s="263">
        <f>'Op Cost - Performance'!D19/'Revenue Hours'!D19</f>
        <v>157.99991253990368</v>
      </c>
      <c r="AB29" s="263">
        <f>'Op Cost - Performance'!E19/'Revenue Hours'!E19</f>
        <v>160.3725920152622</v>
      </c>
      <c r="AC29" s="178">
        <f t="shared" si="7"/>
        <v>0.90839761532239915</v>
      </c>
      <c r="AD29" s="179">
        <f t="shared" si="8"/>
        <v>3.8611167170599807E-2</v>
      </c>
      <c r="AE29" s="113">
        <f t="shared" si="9"/>
        <v>3.8497318900591486E-2</v>
      </c>
      <c r="AF29" s="262">
        <f>'Op Cost - Performance'!B19/'Revenue Miles'!B19</f>
        <v>8.5955082350123426</v>
      </c>
      <c r="AG29" s="263">
        <f>'Op Cost - Performance'!C19/'Revenue Miles'!C19</f>
        <v>9.0305663526111015</v>
      </c>
      <c r="AH29" s="263">
        <f>'Op Cost - Performance'!D19/'Revenue Miles'!D19</f>
        <v>7.6488803335183189</v>
      </c>
      <c r="AI29" s="263">
        <f>'Op Cost - Performance'!E19/'Revenue Miles'!E19</f>
        <v>8.1038689839383586</v>
      </c>
      <c r="AJ29" s="178">
        <f t="shared" si="10"/>
        <v>0.9197184780455695</v>
      </c>
      <c r="AK29" s="179">
        <f t="shared" si="11"/>
        <v>3.8135900299754055E-2</v>
      </c>
      <c r="AL29" s="113">
        <f t="shared" si="12"/>
        <v>3.8095971654680864E-2</v>
      </c>
      <c r="AM29" s="262">
        <f>'Op Cost - Performance'!B19/'Ridership'!B19</f>
        <v>37.117218541475417</v>
      </c>
      <c r="AN29" s="263">
        <f>'Op Cost - Performance'!C19/'Ridership'!C19</f>
        <v>35.786195599003463</v>
      </c>
      <c r="AO29" s="263">
        <f>'Op Cost - Performance'!D19/'Ridership'!D19</f>
        <v>36.618501294384053</v>
      </c>
      <c r="AP29" s="263">
        <f>'Op Cost - Performance'!E19/'Ridership'!E19</f>
        <v>33.640513992408707</v>
      </c>
      <c r="AQ29" s="178">
        <f t="shared" si="13"/>
        <v>1.0045433027327804</v>
      </c>
      <c r="AR29" s="179">
        <f t="shared" si="14"/>
        <v>3.491565977013688E-2</v>
      </c>
      <c r="AS29" s="115">
        <f t="shared" si="15"/>
        <v>3.4794075396087365E-2</v>
      </c>
      <c r="AT29" s="111"/>
      <c r="AU29" s="116">
        <f t="shared" si="16"/>
        <v>6.3230213780104518E-3</v>
      </c>
      <c r="AV29" s="180">
        <f t="shared" si="17"/>
        <v>6.4016639205377512E-3</v>
      </c>
      <c r="AW29" s="180">
        <f t="shared" si="18"/>
        <v>7.6994637801182974E-3</v>
      </c>
      <c r="AX29" s="180">
        <f t="shared" si="19"/>
        <v>7.6191943309361736E-3</v>
      </c>
      <c r="AY29" s="117">
        <f t="shared" si="20"/>
        <v>6.958815079217473E-3</v>
      </c>
      <c r="AZ29" s="111"/>
      <c r="BA29" s="118">
        <f t="shared" si="21"/>
        <v>877636.5559958698</v>
      </c>
      <c r="BB29" s="181">
        <f t="shared" si="22"/>
        <v>888552.15568345692</v>
      </c>
      <c r="BC29" s="181">
        <f t="shared" si="23"/>
        <v>1068687.0201796102</v>
      </c>
      <c r="BD29" s="181">
        <f t="shared" si="24"/>
        <v>1057545.6055424751</v>
      </c>
      <c r="BE29" s="181">
        <f t="shared" si="25"/>
        <v>965884.8412526201</v>
      </c>
      <c r="BF29" s="119">
        <f t="shared" si="26"/>
        <v>4858306.1786540328</v>
      </c>
      <c r="BH29" s="257">
        <f>'Op Cost - Performance'!E19</f>
        <v>27572539</v>
      </c>
      <c r="BI29" s="182">
        <f t="shared" si="27"/>
        <v>0.17620089969422231</v>
      </c>
      <c r="BJ29" s="183">
        <f t="shared" si="28"/>
        <v>4858306.1786540328</v>
      </c>
      <c r="BK29" s="138">
        <f t="shared" si="29"/>
        <v>0</v>
      </c>
      <c r="BM29" s="52">
        <f t="shared" si="30"/>
        <v>4858306.1786540328</v>
      </c>
      <c r="BN29" s="184">
        <f t="shared" si="31"/>
        <v>4.0125328265646354E-2</v>
      </c>
      <c r="BO29" s="259">
        <f t="shared" si="32"/>
        <v>65678.455005464421</v>
      </c>
      <c r="BP29" s="259">
        <f t="shared" si="46"/>
        <v>4923984.6336594969</v>
      </c>
      <c r="BQ29" s="185">
        <f t="shared" si="47"/>
        <v>0.17858292388885538</v>
      </c>
      <c r="BR29" s="142">
        <f t="shared" si="33"/>
        <v>0</v>
      </c>
      <c r="BS29" s="11"/>
      <c r="BT29" s="256">
        <f t="shared" si="34"/>
        <v>27572539</v>
      </c>
      <c r="BU29" s="186">
        <f t="shared" si="48"/>
        <v>0.17858292388885538</v>
      </c>
      <c r="BV29" s="187">
        <f t="shared" si="35"/>
        <v>4923984.6336594969</v>
      </c>
      <c r="BW29" s="143">
        <f t="shared" si="36"/>
        <v>0</v>
      </c>
      <c r="BY29" s="52">
        <f t="shared" si="49"/>
        <v>4923984.6336594969</v>
      </c>
      <c r="BZ29" s="188">
        <f t="shared" si="37"/>
        <v>4.0125328265646361E-2</v>
      </c>
      <c r="CA29" s="189">
        <f t="shared" si="38"/>
        <v>0</v>
      </c>
      <c r="CB29" s="147">
        <f t="shared" si="50"/>
        <v>4923984.6336594969</v>
      </c>
      <c r="CC29" s="190">
        <f t="shared" si="51"/>
        <v>0.17858292388885538</v>
      </c>
      <c r="CD29" s="148">
        <f t="shared" si="39"/>
        <v>0</v>
      </c>
      <c r="CE29" s="97"/>
      <c r="CF29" s="154">
        <f t="shared" si="40"/>
        <v>8271761.6999999993</v>
      </c>
      <c r="CG29" s="189">
        <f t="shared" si="41"/>
        <v>0</v>
      </c>
      <c r="CH29" s="266">
        <f t="shared" si="42"/>
        <v>4923984.6336594969</v>
      </c>
      <c r="CI29" s="155">
        <f t="shared" si="43"/>
        <v>0.17858292388885538</v>
      </c>
      <c r="CJ29" s="276">
        <v>4616922.7806974938</v>
      </c>
      <c r="CK29" s="277">
        <f t="shared" si="44"/>
        <v>6.650790310935506E-2</v>
      </c>
      <c r="CL29" s="278">
        <f t="shared" si="52"/>
        <v>0.7328870758075624</v>
      </c>
      <c r="CM29" s="279">
        <f>'Ridership'!L19</f>
        <v>0.18669680139457576</v>
      </c>
      <c r="CN29" s="278">
        <f t="shared" si="53"/>
        <v>0</v>
      </c>
      <c r="CO29" s="280"/>
    </row>
    <row r="30" spans="1:93">
      <c r="A30" s="71" t="s">
        <v>96</v>
      </c>
      <c r="B30" s="240" t="s">
        <v>98</v>
      </c>
      <c r="C30" s="27"/>
      <c r="D30" s="70">
        <f>'Op Cost - Performance'!E20</f>
        <v>27825334</v>
      </c>
      <c r="E30" s="175">
        <f>'Ridership'!$E20</f>
        <v>2640152</v>
      </c>
      <c r="F30" s="175">
        <f>'Revenue Hours - Sizing'!E20</f>
        <v>225969</v>
      </c>
      <c r="G30" s="175">
        <f>'Revenue Miles - Sizing'!E20</f>
        <v>2247168</v>
      </c>
      <c r="H30" s="191">
        <f t="shared" si="45"/>
        <v>4.2857873185140116E-2</v>
      </c>
      <c r="I30" s="110">
        <f t="shared" si="0"/>
        <v>4.2857873185140116E-2</v>
      </c>
      <c r="J30" s="111"/>
      <c r="K30" s="112">
        <f>'Ridership'!B20/'Revenue Hours'!B20</f>
        <v>8.8817225863249529</v>
      </c>
      <c r="L30" s="177">
        <f>'Ridership'!C20/'Revenue Hours'!C20</f>
        <v>9.7390196531791915</v>
      </c>
      <c r="M30" s="177">
        <f>'Ridership'!D20/'Revenue Hours'!D20</f>
        <v>10.649281237683155</v>
      </c>
      <c r="N30" s="177">
        <f>'Ridership'!E20/'Revenue Hours'!E20</f>
        <v>11.683691125773889</v>
      </c>
      <c r="O30" s="178">
        <f t="shared" si="1"/>
        <v>0.99286521055840227</v>
      </c>
      <c r="P30" s="179">
        <f t="shared" si="2"/>
        <v>4.2552091284049444E-2</v>
      </c>
      <c r="Q30" s="113">
        <f t="shared" si="3"/>
        <v>4.2127543372037737E-2</v>
      </c>
      <c r="R30" s="114">
        <f>'Ridership'!B20/'Revenue Miles'!B20</f>
        <v>0.87157122671755427</v>
      </c>
      <c r="S30" s="177">
        <f>'Ridership'!C20/'Revenue Miles'!C20</f>
        <v>0.95474957839955032</v>
      </c>
      <c r="T30" s="177">
        <f>'Ridership'!D20/'Revenue Miles'!D20</f>
        <v>1.0554620939697459</v>
      </c>
      <c r="U30" s="177">
        <f>'Ridership'!E20/'Revenue Miles'!E20</f>
        <v>1.1748796707678286</v>
      </c>
      <c r="V30" s="178">
        <f t="shared" si="4"/>
        <v>0.99848255638545214</v>
      </c>
      <c r="W30" s="179">
        <f t="shared" si="5"/>
        <v>4.2792838779142223E-2</v>
      </c>
      <c r="X30" s="113">
        <f t="shared" si="6"/>
        <v>4.2292266122066102E-2</v>
      </c>
      <c r="Y30" s="262">
        <f>'Op Cost - Performance'!B20/'Revenue Hours'!B20</f>
        <v>128.33355179497212</v>
      </c>
      <c r="Z30" s="263">
        <f>'Op Cost - Performance'!C20/'Revenue Hours'!C20</f>
        <v>109.8271676300578</v>
      </c>
      <c r="AA30" s="263">
        <f>'Op Cost - Performance'!D20/'Revenue Hours'!D20</f>
        <v>122.49075072655847</v>
      </c>
      <c r="AB30" s="263">
        <f>'Op Cost - Performance'!E20/'Revenue Hours'!E20</f>
        <v>123.13783749098327</v>
      </c>
      <c r="AC30" s="178">
        <f t="shared" si="7"/>
        <v>0.93214367366565387</v>
      </c>
      <c r="AD30" s="179">
        <f t="shared" si="8"/>
        <v>4.5977754713070772E-2</v>
      </c>
      <c r="AE30" s="113">
        <f t="shared" si="9"/>
        <v>4.5842185440849038E-2</v>
      </c>
      <c r="AF30" s="262">
        <f>'Op Cost - Performance'!B20/'Revenue Miles'!B20</f>
        <v>12.593483986899244</v>
      </c>
      <c r="AG30" s="263">
        <f>'Op Cost - Performance'!C20/'Revenue Miles'!C20</f>
        <v>10.766734817850473</v>
      </c>
      <c r="AH30" s="263">
        <f>'Op Cost - Performance'!D20/'Revenue Miles'!D20</f>
        <v>12.140194381973757</v>
      </c>
      <c r="AI30" s="263">
        <f>'Op Cost - Performance'!E20/'Revenue Miles'!E20</f>
        <v>12.382400425780361</v>
      </c>
      <c r="AJ30" s="178">
        <f t="shared" si="10"/>
        <v>0.93773023250011855</v>
      </c>
      <c r="AK30" s="179">
        <f t="shared" si="11"/>
        <v>4.5703840720667709E-2</v>
      </c>
      <c r="AL30" s="113">
        <f t="shared" si="12"/>
        <v>4.5655988371037223E-2</v>
      </c>
      <c r="AM30" s="262">
        <f>'Op Cost - Performance'!B20/'Ridership'!B20</f>
        <v>14.449173631313958</v>
      </c>
      <c r="AN30" s="263">
        <f>'Op Cost - Performance'!C20/'Ridership'!C20</f>
        <v>11.277024951295379</v>
      </c>
      <c r="AO30" s="263">
        <f>'Op Cost - Performance'!D20/'Ridership'!D20</f>
        <v>11.502255221987866</v>
      </c>
      <c r="AP30" s="263">
        <f>'Op Cost - Performance'!E20/'Ridership'!E20</f>
        <v>10.539292434678003</v>
      </c>
      <c r="AQ30" s="178">
        <f t="shared" si="13"/>
        <v>0.93618078531055804</v>
      </c>
      <c r="AR30" s="179">
        <f t="shared" si="14"/>
        <v>4.5779483896289247E-2</v>
      </c>
      <c r="AS30" s="115">
        <f t="shared" si="15"/>
        <v>4.5620069182934729E-2</v>
      </c>
      <c r="AT30" s="111"/>
      <c r="AU30" s="116">
        <f t="shared" si="16"/>
        <v>8.4255086744075471E-3</v>
      </c>
      <c r="AV30" s="180">
        <f t="shared" si="17"/>
        <v>8.4584532244132201E-3</v>
      </c>
      <c r="AW30" s="180">
        <f t="shared" si="18"/>
        <v>9.168437088169808E-3</v>
      </c>
      <c r="AX30" s="180">
        <f t="shared" si="19"/>
        <v>9.1311976742074457E-3</v>
      </c>
      <c r="AY30" s="117">
        <f t="shared" si="20"/>
        <v>9.1240138365869458E-3</v>
      </c>
      <c r="AZ30" s="111"/>
      <c r="BA30" s="118">
        <f t="shared" si="21"/>
        <v>1169462.1880033982</v>
      </c>
      <c r="BB30" s="181">
        <f t="shared" si="22"/>
        <v>1174034.897737761</v>
      </c>
      <c r="BC30" s="181">
        <f t="shared" si="23"/>
        <v>1272580.7915041419</v>
      </c>
      <c r="BD30" s="181">
        <f t="shared" si="24"/>
        <v>1267411.9538451561</v>
      </c>
      <c r="BE30" s="181">
        <f t="shared" si="25"/>
        <v>1266414.8358328694</v>
      </c>
      <c r="BF30" s="119">
        <f t="shared" si="26"/>
        <v>6149904.6669233274</v>
      </c>
      <c r="BH30" s="257">
        <f>'Op Cost - Performance'!E20</f>
        <v>27825334</v>
      </c>
      <c r="BI30" s="182">
        <f t="shared" si="27"/>
        <v>0.22101817958136019</v>
      </c>
      <c r="BJ30" s="183">
        <f t="shared" si="28"/>
        <v>6149904.6669233274</v>
      </c>
      <c r="BK30" s="138">
        <f t="shared" si="29"/>
        <v>0</v>
      </c>
      <c r="BM30" s="52">
        <f t="shared" si="30"/>
        <v>6149904.6669233274</v>
      </c>
      <c r="BN30" s="184">
        <f t="shared" si="31"/>
        <v>5.0792793720360878E-2</v>
      </c>
      <c r="BO30" s="259">
        <f t="shared" si="32"/>
        <v>83139.312777179104</v>
      </c>
      <c r="BP30" s="259">
        <f t="shared" si="46"/>
        <v>6233043.9797005067</v>
      </c>
      <c r="BQ30" s="185">
        <f t="shared" si="47"/>
        <v>0.22400607948499401</v>
      </c>
      <c r="BR30" s="142">
        <f t="shared" si="33"/>
        <v>0</v>
      </c>
      <c r="BS30" s="11"/>
      <c r="BT30" s="256">
        <f t="shared" si="34"/>
        <v>27825334</v>
      </c>
      <c r="BU30" s="186">
        <f t="shared" si="48"/>
        <v>0.22400607948499401</v>
      </c>
      <c r="BV30" s="187">
        <f t="shared" si="35"/>
        <v>6233043.9797005067</v>
      </c>
      <c r="BW30" s="143">
        <f t="shared" si="36"/>
        <v>0</v>
      </c>
      <c r="BY30" s="52">
        <f t="shared" si="49"/>
        <v>6233043.9797005067</v>
      </c>
      <c r="BZ30" s="188">
        <f t="shared" si="37"/>
        <v>5.0792793720360892E-2</v>
      </c>
      <c r="CA30" s="189">
        <f t="shared" si="38"/>
        <v>0</v>
      </c>
      <c r="CB30" s="147">
        <f t="shared" si="50"/>
        <v>6233043.9797005067</v>
      </c>
      <c r="CC30" s="190">
        <f t="shared" si="51"/>
        <v>0.22400607948499401</v>
      </c>
      <c r="CD30" s="148">
        <f t="shared" si="39"/>
        <v>0</v>
      </c>
      <c r="CE30" s="97"/>
      <c r="CF30" s="154">
        <f t="shared" si="40"/>
        <v>8347600.1999999993</v>
      </c>
      <c r="CG30" s="189">
        <f t="shared" si="41"/>
        <v>0</v>
      </c>
      <c r="CH30" s="266">
        <f t="shared" si="42"/>
        <v>6233043.9797005067</v>
      </c>
      <c r="CI30" s="155">
        <f t="shared" si="43"/>
        <v>0.22400607948499401</v>
      </c>
      <c r="CJ30" s="276">
        <f>VLOOKUP(B30,'[5]Allocation Calculations'!$B$12:$CM$49, 90, FALSE)</f>
        <v>5903647.0219985424</v>
      </c>
      <c r="CK30" s="277">
        <f t="shared" si="44"/>
        <v>5.5795503436188609E-2</v>
      </c>
      <c r="CL30" s="278">
        <f t="shared" si="52"/>
        <v>0.61484126614731893</v>
      </c>
      <c r="CM30" s="279">
        <f>'Ridership'!L20</f>
        <v>7.3783379929053039E-2</v>
      </c>
      <c r="CN30" s="278">
        <f t="shared" si="53"/>
        <v>0</v>
      </c>
      <c r="CO30" s="280"/>
    </row>
    <row r="31" spans="1:93">
      <c r="A31" s="71" t="s">
        <v>96</v>
      </c>
      <c r="B31" s="240" t="s">
        <v>99</v>
      </c>
      <c r="C31" s="27"/>
      <c r="D31" s="70">
        <f>'Op Cost - Performance'!E21</f>
        <v>31465620</v>
      </c>
      <c r="E31" s="175">
        <f>'Ridership'!$E21</f>
        <v>5758247</v>
      </c>
      <c r="F31" s="175">
        <f>'Revenue Hours - Sizing'!E21</f>
        <v>318474</v>
      </c>
      <c r="G31" s="175">
        <f>'Revenue Miles - Sizing'!E21</f>
        <v>2959703</v>
      </c>
      <c r="H31" s="191">
        <f t="shared" si="45"/>
        <v>6.4541404667958005E-2</v>
      </c>
      <c r="I31" s="110">
        <f t="shared" si="0"/>
        <v>6.4541404667958005E-2</v>
      </c>
      <c r="J31" s="111"/>
      <c r="K31" s="112">
        <f>'Ridership'!B21/'Revenue Hours'!B21</f>
        <v>11.021126607734487</v>
      </c>
      <c r="L31" s="177">
        <f>'Ridership'!C21/'Revenue Hours'!C21</f>
        <v>14.745469355165852</v>
      </c>
      <c r="M31" s="177">
        <f>'Ridership'!D21/'Revenue Hours'!D21</f>
        <v>17.327831184669662</v>
      </c>
      <c r="N31" s="177">
        <f>'Ridership'!E21/'Revenue Hours'!E21</f>
        <v>18.080744424976608</v>
      </c>
      <c r="O31" s="178">
        <f t="shared" si="1"/>
        <v>1.0693925579424921</v>
      </c>
      <c r="P31" s="179">
        <f t="shared" si="2"/>
        <v>6.9020097831069105E-2</v>
      </c>
      <c r="Q31" s="113">
        <f t="shared" si="3"/>
        <v>6.8331475073954276E-2</v>
      </c>
      <c r="R31" s="114">
        <f>'Ridership'!B21/'Revenue Miles'!B21</f>
        <v>1.2173072182855937</v>
      </c>
      <c r="S31" s="177">
        <f>'Ridership'!C21/'Revenue Miles'!C21</f>
        <v>1.5082541507857004</v>
      </c>
      <c r="T31" s="177">
        <f>'Ridership'!D21/'Revenue Miles'!D21</f>
        <v>1.8678928464353985</v>
      </c>
      <c r="U31" s="177">
        <f>'Ridership'!E21/'Revenue Miles'!E21</f>
        <v>1.9455489283890985</v>
      </c>
      <c r="V31" s="178">
        <f t="shared" si="4"/>
        <v>1.0575335302349311</v>
      </c>
      <c r="W31" s="179">
        <f t="shared" si="5"/>
        <v>6.8254699524826892E-2</v>
      </c>
      <c r="X31" s="113">
        <f t="shared" si="6"/>
        <v>6.74562847135214E-2</v>
      </c>
      <c r="Y31" s="262">
        <f>'Op Cost - Performance'!B21/'Revenue Hours'!B21</f>
        <v>98.632543150219192</v>
      </c>
      <c r="Z31" s="263">
        <f>'Op Cost - Performance'!C21/'Revenue Hours'!C21</f>
        <v>103.11566062580688</v>
      </c>
      <c r="AA31" s="263">
        <f>'Op Cost - Performance'!D21/'Revenue Hours'!D21</f>
        <v>116.71198169789699</v>
      </c>
      <c r="AB31" s="263">
        <f>'Op Cost - Performance'!E21/'Revenue Hours'!E21</f>
        <v>98.801220821793933</v>
      </c>
      <c r="AC31" s="178">
        <f t="shared" si="7"/>
        <v>0.94609587581766397</v>
      </c>
      <c r="AD31" s="179">
        <f t="shared" si="8"/>
        <v>6.821867245978433E-2</v>
      </c>
      <c r="AE31" s="113">
        <f t="shared" si="9"/>
        <v>6.8017523973195076E-2</v>
      </c>
      <c r="AF31" s="262">
        <f>'Op Cost - Performance'!B21/'Revenue Miles'!B21</f>
        <v>10.894177247756708</v>
      </c>
      <c r="AG31" s="263">
        <f>'Op Cost - Performance'!C21/'Revenue Miles'!C21</f>
        <v>10.547281975490128</v>
      </c>
      <c r="AH31" s="263">
        <f>'Op Cost - Performance'!D21/'Revenue Miles'!D21</f>
        <v>12.581232664574635</v>
      </c>
      <c r="AI31" s="263">
        <f>'Op Cost - Performance'!E21/'Revenue Miles'!E21</f>
        <v>10.631343753072521</v>
      </c>
      <c r="AJ31" s="178">
        <f t="shared" si="10"/>
        <v>0.9388173425651386</v>
      </c>
      <c r="AK31" s="179">
        <f t="shared" si="11"/>
        <v>6.8747563281703963E-2</v>
      </c>
      <c r="AL31" s="113">
        <f t="shared" si="12"/>
        <v>6.8675583938556273E-2</v>
      </c>
      <c r="AM31" s="262">
        <f>'Op Cost - Performance'!B21/'Ridership'!B21</f>
        <v>8.9494065952386492</v>
      </c>
      <c r="AN31" s="263">
        <f>'Op Cost - Performance'!C21/'Ridership'!C21</f>
        <v>6.9930402445739626</v>
      </c>
      <c r="AO31" s="263">
        <f>'Op Cost - Performance'!D21/'Ridership'!D21</f>
        <v>6.7355216272625524</v>
      </c>
      <c r="AP31" s="263">
        <f>'Op Cost - Performance'!E21/'Ridership'!E21</f>
        <v>5.4644443004963144</v>
      </c>
      <c r="AQ31" s="178">
        <f t="shared" si="13"/>
        <v>0.8822897411592856</v>
      </c>
      <c r="AR31" s="179">
        <f t="shared" si="14"/>
        <v>7.3152164937511074E-2</v>
      </c>
      <c r="AS31" s="115">
        <f t="shared" si="15"/>
        <v>7.2897432240410467E-2</v>
      </c>
      <c r="AT31" s="111"/>
      <c r="AU31" s="116">
        <f t="shared" si="16"/>
        <v>1.3666295014790856E-2</v>
      </c>
      <c r="AV31" s="180">
        <f t="shared" si="17"/>
        <v>1.3491256942704281E-2</v>
      </c>
      <c r="AW31" s="180">
        <f t="shared" si="18"/>
        <v>1.3603504794639017E-2</v>
      </c>
      <c r="AX31" s="180">
        <f t="shared" si="19"/>
        <v>1.3735116787711256E-2</v>
      </c>
      <c r="AY31" s="117">
        <f t="shared" si="20"/>
        <v>1.4579486448082095E-2</v>
      </c>
      <c r="AZ31" s="111"/>
      <c r="BA31" s="118">
        <f t="shared" si="21"/>
        <v>1896884.3173164336</v>
      </c>
      <c r="BB31" s="181">
        <f t="shared" si="22"/>
        <v>1872589.0000036594</v>
      </c>
      <c r="BC31" s="181">
        <f t="shared" si="23"/>
        <v>1888169.0229547969</v>
      </c>
      <c r="BD31" s="181">
        <f t="shared" si="24"/>
        <v>1906436.7923362784</v>
      </c>
      <c r="BE31" s="181">
        <f t="shared" si="25"/>
        <v>2023635.459937247</v>
      </c>
      <c r="BF31" s="119">
        <f t="shared" si="26"/>
        <v>9587714.5925484151</v>
      </c>
      <c r="BH31" s="257">
        <f>'Op Cost - Performance'!E21</f>
        <v>31465620</v>
      </c>
      <c r="BI31" s="182">
        <f t="shared" si="27"/>
        <v>0.30470445497493504</v>
      </c>
      <c r="BJ31" s="183">
        <f t="shared" si="28"/>
        <v>9439686</v>
      </c>
      <c r="BK31" s="138">
        <f t="shared" si="29"/>
        <v>148028.59254841506</v>
      </c>
      <c r="BM31" s="52">
        <f t="shared" si="30"/>
        <v>0</v>
      </c>
      <c r="BN31" s="184">
        <f t="shared" si="31"/>
        <v>0</v>
      </c>
      <c r="BO31" s="259">
        <f t="shared" si="32"/>
        <v>0</v>
      </c>
      <c r="BP31" s="259">
        <f t="shared" si="46"/>
        <v>9439686</v>
      </c>
      <c r="BQ31" s="185">
        <f t="shared" si="47"/>
        <v>0.3</v>
      </c>
      <c r="BR31" s="142">
        <f t="shared" si="33"/>
        <v>0</v>
      </c>
      <c r="BS31" s="11"/>
      <c r="BT31" s="256">
        <f t="shared" si="34"/>
        <v>31465620</v>
      </c>
      <c r="BU31" s="186">
        <f t="shared" si="48"/>
        <v>0.3</v>
      </c>
      <c r="BV31" s="187">
        <f t="shared" si="35"/>
        <v>9439686</v>
      </c>
      <c r="BW31" s="143">
        <f t="shared" si="36"/>
        <v>0</v>
      </c>
      <c r="BY31" s="52">
        <f t="shared" si="49"/>
        <v>0</v>
      </c>
      <c r="BZ31" s="188">
        <f t="shared" si="37"/>
        <v>0</v>
      </c>
      <c r="CA31" s="189">
        <f t="shared" si="38"/>
        <v>0</v>
      </c>
      <c r="CB31" s="147">
        <f t="shared" si="50"/>
        <v>9439686</v>
      </c>
      <c r="CC31" s="190">
        <f t="shared" si="51"/>
        <v>0.3</v>
      </c>
      <c r="CD31" s="148">
        <f t="shared" si="39"/>
        <v>0</v>
      </c>
      <c r="CE31" s="97"/>
      <c r="CF31" s="154">
        <f t="shared" si="40"/>
        <v>9439686</v>
      </c>
      <c r="CG31" s="189">
        <f t="shared" si="41"/>
        <v>0</v>
      </c>
      <c r="CH31" s="266">
        <f t="shared" si="42"/>
        <v>9439686</v>
      </c>
      <c r="CI31" s="155">
        <f t="shared" si="43"/>
        <v>0.3</v>
      </c>
      <c r="CJ31" s="276">
        <f>VLOOKUP(B31,'[5]Allocation Calculations'!$B$12:$CM$49, 90, FALSE)</f>
        <v>10450791.057495382</v>
      </c>
      <c r="CK31" s="277">
        <f t="shared" si="44"/>
        <v>-9.6749140991600813E-2</v>
      </c>
      <c r="CL31" s="278">
        <f t="shared" si="52"/>
        <v>-1.0661318687440946</v>
      </c>
      <c r="CM31" s="279">
        <f>'Ridership'!L21</f>
        <v>7.5943839560821486E-2</v>
      </c>
      <c r="CN31" s="278">
        <f t="shared" si="53"/>
        <v>-1.273956407143688</v>
      </c>
      <c r="CO31" s="281">
        <f>CJ31-CH31</f>
        <v>1011105.0574953817</v>
      </c>
    </row>
    <row r="32" spans="1:93">
      <c r="A32" s="71" t="s">
        <v>96</v>
      </c>
      <c r="B32" s="240" t="s">
        <v>100</v>
      </c>
      <c r="C32" s="27"/>
      <c r="D32" s="70">
        <f>'Op Cost - Performance'!E22</f>
        <v>5702607</v>
      </c>
      <c r="E32" s="175">
        <f>'Ridership'!$E22</f>
        <v>949010</v>
      </c>
      <c r="F32" s="175">
        <f>'Revenue Hours - Sizing'!E22</f>
        <v>34553</v>
      </c>
      <c r="G32" s="175">
        <f>'Revenue Miles - Sizing'!E22</f>
        <v>434479</v>
      </c>
      <c r="H32" s="191">
        <f t="shared" si="45"/>
        <v>1.0589545975834164E-2</v>
      </c>
      <c r="I32" s="110">
        <f t="shared" si="0"/>
        <v>1.0589545975834164E-2</v>
      </c>
      <c r="J32" s="111"/>
      <c r="K32" s="112">
        <f>'Ridership'!B22/'Revenue Hours'!B22</f>
        <v>13.465131541402728</v>
      </c>
      <c r="L32" s="177">
        <f>'Ridership'!C22/'Revenue Hours'!C22</f>
        <v>24.467665569605636</v>
      </c>
      <c r="M32" s="177">
        <f>'Ridership'!D22/'Revenue Hours'!D22</f>
        <v>29.025488038000347</v>
      </c>
      <c r="N32" s="177">
        <f>'Ridership'!E22/'Revenue Hours'!E22</f>
        <v>27.465343096113216</v>
      </c>
      <c r="O32" s="178">
        <f t="shared" si="1"/>
        <v>1.1773213688889219</v>
      </c>
      <c r="P32" s="179">
        <f t="shared" si="2"/>
        <v>1.2467298764181253E-2</v>
      </c>
      <c r="Q32" s="113">
        <f t="shared" si="3"/>
        <v>1.2342910855172811E-2</v>
      </c>
      <c r="R32" s="114">
        <f>'Ridership'!B22/'Revenue Miles'!B22</f>
        <v>1.0865963144527517</v>
      </c>
      <c r="S32" s="177">
        <f>'Ridership'!C22/'Revenue Miles'!C22</f>
        <v>1.9292701193514095</v>
      </c>
      <c r="T32" s="177">
        <f>'Ridership'!D22/'Revenue Miles'!D22</f>
        <v>2.3068639592646645</v>
      </c>
      <c r="U32" s="177">
        <f>'Ridership'!E22/'Revenue Miles'!E22</f>
        <v>2.1842482605603495</v>
      </c>
      <c r="V32" s="178">
        <f t="shared" si="4"/>
        <v>1.1651131693298664</v>
      </c>
      <c r="W32" s="179">
        <f t="shared" si="5"/>
        <v>1.2338019473668476E-2</v>
      </c>
      <c r="X32" s="113">
        <f t="shared" si="6"/>
        <v>1.2193694503248391E-2</v>
      </c>
      <c r="Y32" s="262">
        <f>'Op Cost - Performance'!B22/'Revenue Hours'!B22</f>
        <v>152.54685270786965</v>
      </c>
      <c r="Z32" s="263">
        <f>'Op Cost - Performance'!C22/'Revenue Hours'!C22</f>
        <v>153.82888734915412</v>
      </c>
      <c r="AA32" s="263">
        <f>'Op Cost - Performance'!D22/'Revenue Hours'!D22</f>
        <v>157.95638069860394</v>
      </c>
      <c r="AB32" s="263">
        <f>'Op Cost - Performance'!E22/'Revenue Hours'!E22</f>
        <v>165.03941770613261</v>
      </c>
      <c r="AC32" s="178">
        <f t="shared" si="7"/>
        <v>0.96266230443047585</v>
      </c>
      <c r="AD32" s="179">
        <f t="shared" si="8"/>
        <v>1.1000270735747863E-2</v>
      </c>
      <c r="AE32" s="113">
        <f t="shared" si="9"/>
        <v>1.0967835513384483E-2</v>
      </c>
      <c r="AF32" s="262">
        <f>'Op Cost - Performance'!B22/'Revenue Miles'!B22</f>
        <v>12.310080107577638</v>
      </c>
      <c r="AG32" s="263">
        <f>'Op Cost - Performance'!C22/'Revenue Miles'!C22</f>
        <v>12.129374378259513</v>
      </c>
      <c r="AH32" s="263">
        <f>'Op Cost - Performance'!D22/'Revenue Miles'!D22</f>
        <v>12.553927820005802</v>
      </c>
      <c r="AI32" s="263">
        <f>'Op Cost - Performance'!E22/'Revenue Miles'!E22</f>
        <v>13.125161400205764</v>
      </c>
      <c r="AJ32" s="178">
        <f t="shared" si="10"/>
        <v>0.95570413820203548</v>
      </c>
      <c r="AK32" s="179">
        <f t="shared" si="11"/>
        <v>1.1080360074359684E-2</v>
      </c>
      <c r="AL32" s="113">
        <f t="shared" si="12"/>
        <v>1.1068758833502258E-2</v>
      </c>
      <c r="AM32" s="262">
        <f>'Op Cost - Performance'!B22/'Ridership'!B22</f>
        <v>11.329028033541075</v>
      </c>
      <c r="AN32" s="263">
        <f>'Op Cost - Performance'!C22/'Ridership'!C22</f>
        <v>6.2870275430053413</v>
      </c>
      <c r="AO32" s="263">
        <f>'Op Cost - Performance'!D22/'Ridership'!D22</f>
        <v>5.4419887959095288</v>
      </c>
      <c r="AP32" s="263">
        <f>'Op Cost - Performance'!E22/'Ridership'!E22</f>
        <v>6.0090062275423861</v>
      </c>
      <c r="AQ32" s="264">
        <f t="shared" si="13"/>
        <v>0.86346718389668131</v>
      </c>
      <c r="AR32" s="179">
        <f t="shared" si="14"/>
        <v>1.2263981970971189E-2</v>
      </c>
      <c r="AS32" s="115">
        <f t="shared" si="15"/>
        <v>1.2221275959367468E-2</v>
      </c>
      <c r="AT32" s="111"/>
      <c r="AU32" s="116">
        <f t="shared" si="16"/>
        <v>2.4685821710345624E-3</v>
      </c>
      <c r="AV32" s="180">
        <f t="shared" si="17"/>
        <v>2.4387389006496783E-3</v>
      </c>
      <c r="AW32" s="180">
        <f t="shared" si="18"/>
        <v>2.1935671026768965E-3</v>
      </c>
      <c r="AX32" s="180">
        <f t="shared" si="19"/>
        <v>2.2137517667004517E-3</v>
      </c>
      <c r="AY32" s="117">
        <f t="shared" si="20"/>
        <v>2.4442551918734939E-3</v>
      </c>
      <c r="AZ32" s="111"/>
      <c r="BA32" s="118">
        <f t="shared" si="21"/>
        <v>342639.66943304543</v>
      </c>
      <c r="BB32" s="181">
        <f t="shared" si="22"/>
        <v>338497.41789308866</v>
      </c>
      <c r="BC32" s="181">
        <f t="shared" si="23"/>
        <v>304467.52624216856</v>
      </c>
      <c r="BD32" s="181">
        <f t="shared" si="24"/>
        <v>307269.16140335484</v>
      </c>
      <c r="BE32" s="181">
        <f t="shared" si="25"/>
        <v>339263.08015201701</v>
      </c>
      <c r="BF32" s="119">
        <f t="shared" si="26"/>
        <v>1632136.8551236745</v>
      </c>
      <c r="BH32" s="257">
        <f>'Op Cost - Performance'!E22</f>
        <v>5702607</v>
      </c>
      <c r="BI32" s="182">
        <f t="shared" si="27"/>
        <v>0.28620889623354273</v>
      </c>
      <c r="BJ32" s="183">
        <f t="shared" si="28"/>
        <v>1632136.8551236745</v>
      </c>
      <c r="BK32" s="138">
        <f t="shared" si="29"/>
        <v>0</v>
      </c>
      <c r="BM32" s="52">
        <f t="shared" si="30"/>
        <v>1632136.8551236745</v>
      </c>
      <c r="BN32" s="184">
        <f t="shared" si="31"/>
        <v>1.3480012308413378E-2</v>
      </c>
      <c r="BO32" s="259">
        <f t="shared" si="32"/>
        <v>22064.526824799377</v>
      </c>
      <c r="BP32" s="259">
        <f t="shared" si="46"/>
        <v>1654201.3819484739</v>
      </c>
      <c r="BQ32" s="185">
        <f t="shared" si="47"/>
        <v>0.29007809620204827</v>
      </c>
      <c r="BR32" s="142">
        <f t="shared" si="33"/>
        <v>0</v>
      </c>
      <c r="BS32" s="11"/>
      <c r="BT32" s="256">
        <f t="shared" si="34"/>
        <v>5702607</v>
      </c>
      <c r="BU32" s="186">
        <f t="shared" si="48"/>
        <v>0.29007809620204827</v>
      </c>
      <c r="BV32" s="187">
        <f t="shared" si="35"/>
        <v>1654201.3819484739</v>
      </c>
      <c r="BW32" s="143">
        <f t="shared" si="36"/>
        <v>0</v>
      </c>
      <c r="BY32" s="52">
        <f t="shared" si="49"/>
        <v>1654201.3819484739</v>
      </c>
      <c r="BZ32" s="188">
        <f t="shared" si="37"/>
        <v>1.3480012308413381E-2</v>
      </c>
      <c r="CA32" s="189">
        <f t="shared" si="38"/>
        <v>0</v>
      </c>
      <c r="CB32" s="147">
        <f t="shared" si="50"/>
        <v>1654201.3819484739</v>
      </c>
      <c r="CC32" s="190">
        <f t="shared" si="51"/>
        <v>0.29007809620204827</v>
      </c>
      <c r="CD32" s="148">
        <f t="shared" si="39"/>
        <v>0</v>
      </c>
      <c r="CE32" s="97"/>
      <c r="CF32" s="154">
        <f t="shared" si="40"/>
        <v>1710782.0999999999</v>
      </c>
      <c r="CG32" s="189">
        <f t="shared" si="41"/>
        <v>0</v>
      </c>
      <c r="CH32" s="266">
        <f t="shared" si="42"/>
        <v>1654201.3819484739</v>
      </c>
      <c r="CI32" s="155">
        <f t="shared" si="43"/>
        <v>0.29007809620204827</v>
      </c>
      <c r="CJ32" s="276">
        <f>VLOOKUP(B32,'[5]Allocation Calculations'!$B$12:$CM$49, 90, FALSE)</f>
        <v>1636080.5999999999</v>
      </c>
      <c r="CK32" s="277">
        <f t="shared" si="44"/>
        <v>1.1075726922300775E-2</v>
      </c>
      <c r="CL32" s="278">
        <f t="shared" si="52"/>
        <v>0.12204951196824498</v>
      </c>
      <c r="CM32" s="279">
        <f>'Ridership'!L22</f>
        <v>-5.3010874793191332E-2</v>
      </c>
      <c r="CN32" s="278">
        <f t="shared" si="53"/>
        <v>0</v>
      </c>
      <c r="CO32" s="280"/>
    </row>
    <row r="33" spans="1:93">
      <c r="A33" s="71" t="s">
        <v>96</v>
      </c>
      <c r="B33" s="240" t="s">
        <v>101</v>
      </c>
      <c r="C33" s="27"/>
      <c r="D33" s="70">
        <f>'Op Cost - Performance'!E23</f>
        <v>135419722</v>
      </c>
      <c r="E33" s="175">
        <f>'Ridership'!$E23</f>
        <v>9687227</v>
      </c>
      <c r="F33" s="175">
        <f>'Revenue Hours - Sizing'!E23</f>
        <v>879010</v>
      </c>
      <c r="G33" s="175">
        <f>'Revenue Miles - Sizing'!E23</f>
        <v>11834233</v>
      </c>
      <c r="H33" s="191">
        <f t="shared" si="45"/>
        <v>0.18919671271927641</v>
      </c>
      <c r="I33" s="110">
        <f t="shared" si="0"/>
        <v>0.18919671271927641</v>
      </c>
      <c r="J33" s="111"/>
      <c r="K33" s="112">
        <f>'Ridership'!B23/'Revenue Hours'!B23</f>
        <v>6.1772085175648597</v>
      </c>
      <c r="L33" s="177">
        <f>'Ridership'!C23/'Revenue Hours'!C23</f>
        <v>9.8555669967058908</v>
      </c>
      <c r="M33" s="177">
        <f>'Ridership'!D23/'Revenue Hours'!D23</f>
        <v>10.646159498854312</v>
      </c>
      <c r="N33" s="177">
        <f>'Ridership'!E23/'Revenue Hours'!E23</f>
        <v>11.0206106870229</v>
      </c>
      <c r="O33" s="178">
        <f t="shared" si="1"/>
        <v>1.1098336462234268</v>
      </c>
      <c r="P33" s="179">
        <f t="shared" si="2"/>
        <v>0.20997687753072072</v>
      </c>
      <c r="Q33" s="113">
        <f t="shared" si="3"/>
        <v>0.20788191010993451</v>
      </c>
      <c r="R33" s="114">
        <f>'Ridership'!B23/'Revenue Miles'!B23</f>
        <v>0.47819886223375052</v>
      </c>
      <c r="S33" s="177">
        <f>'Ridership'!C23/'Revenue Miles'!C23</f>
        <v>0.7557807792342961</v>
      </c>
      <c r="T33" s="177">
        <f>'Ridership'!D23/'Revenue Miles'!D23</f>
        <v>0.80600047782462481</v>
      </c>
      <c r="U33" s="177">
        <f>'Ridership'!E23/'Revenue Miles'!E23</f>
        <v>0.8185766665232973</v>
      </c>
      <c r="V33" s="178">
        <f t="shared" si="4"/>
        <v>1.0918872964235131</v>
      </c>
      <c r="W33" s="179">
        <f t="shared" si="5"/>
        <v>0.20658148714326682</v>
      </c>
      <c r="X33" s="113">
        <f t="shared" si="6"/>
        <v>0.20416498366108968</v>
      </c>
      <c r="Y33" s="262">
        <f>'Op Cost - Performance'!B23/'Revenue Hours'!B23</f>
        <v>123.53958340274241</v>
      </c>
      <c r="Z33" s="263">
        <f>'Op Cost - Performance'!C23/'Revenue Hours'!C23</f>
        <v>127.77476943594867</v>
      </c>
      <c r="AA33" s="263">
        <f>'Op Cost - Performance'!D23/'Revenue Hours'!D23</f>
        <v>135.70313913636252</v>
      </c>
      <c r="AB33" s="263">
        <f>'Op Cost - Performance'!E23/'Revenue Hours'!E23</f>
        <v>154.05936451234913</v>
      </c>
      <c r="AC33" s="178">
        <f t="shared" si="7"/>
        <v>1.0099812128787622</v>
      </c>
      <c r="AD33" s="179">
        <f t="shared" si="8"/>
        <v>0.1873269624293373</v>
      </c>
      <c r="AE33" s="113">
        <f t="shared" si="9"/>
        <v>0.18677461314385047</v>
      </c>
      <c r="AF33" s="262">
        <f>'Op Cost - Performance'!B23/'Revenue Miles'!B23</f>
        <v>9.5636221532815782</v>
      </c>
      <c r="AG33" s="263">
        <f>'Op Cost - Performance'!C23/'Revenue Miles'!C23</f>
        <v>9.7984940737616739</v>
      </c>
      <c r="AH33" s="263">
        <f>'Op Cost - Performance'!D23/'Revenue Miles'!D23</f>
        <v>10.273826443984833</v>
      </c>
      <c r="AI33" s="263">
        <f>'Op Cost - Performance'!E23/'Revenue Miles'!E23</f>
        <v>11.443050174861353</v>
      </c>
      <c r="AJ33" s="178">
        <f t="shared" si="10"/>
        <v>0.99316515604046474</v>
      </c>
      <c r="AK33" s="179">
        <f t="shared" si="11"/>
        <v>0.19049874189461385</v>
      </c>
      <c r="AL33" s="113">
        <f t="shared" si="12"/>
        <v>0.19029928792624776</v>
      </c>
      <c r="AM33" s="262">
        <f>'Op Cost - Performance'!B23/'Ridership'!B23</f>
        <v>19.999257439903197</v>
      </c>
      <c r="AN33" s="263">
        <f>'Op Cost - Performance'!C23/'Ridership'!C23</f>
        <v>12.964730439015423</v>
      </c>
      <c r="AO33" s="263">
        <f>'Op Cost - Performance'!D23/'Ridership'!D23</f>
        <v>12.746675376314458</v>
      </c>
      <c r="AP33" s="263">
        <f>'Op Cost - Performance'!E23/'Ridership'!E23</f>
        <v>13.979203955889544</v>
      </c>
      <c r="AQ33" s="178">
        <f t="shared" si="13"/>
        <v>0.93525160601354773</v>
      </c>
      <c r="AR33" s="179">
        <f t="shared" si="14"/>
        <v>0.2022949883248164</v>
      </c>
      <c r="AS33" s="115">
        <f t="shared" si="15"/>
        <v>0.20159055055417852</v>
      </c>
      <c r="AT33" s="111"/>
      <c r="AU33" s="116">
        <f t="shared" si="16"/>
        <v>4.1576382021986907E-2</v>
      </c>
      <c r="AV33" s="180">
        <f t="shared" si="17"/>
        <v>4.0832996732217935E-2</v>
      </c>
      <c r="AW33" s="180">
        <f t="shared" si="18"/>
        <v>3.7354922628770097E-2</v>
      </c>
      <c r="AX33" s="180">
        <f t="shared" si="19"/>
        <v>3.8059857585249553E-2</v>
      </c>
      <c r="AY33" s="117">
        <f t="shared" si="20"/>
        <v>4.0318110110835706E-2</v>
      </c>
      <c r="AZ33" s="111"/>
      <c r="BA33" s="118">
        <f t="shared" si="21"/>
        <v>5770809.6410116032</v>
      </c>
      <c r="BB33" s="181">
        <f t="shared" si="22"/>
        <v>5667627.6230352353</v>
      </c>
      <c r="BC33" s="181">
        <f t="shared" si="23"/>
        <v>5184870.2835987434</v>
      </c>
      <c r="BD33" s="181">
        <f t="shared" si="24"/>
        <v>5282715.3880858636</v>
      </c>
      <c r="BE33" s="181">
        <f t="shared" si="25"/>
        <v>5596161.2631886965</v>
      </c>
      <c r="BF33" s="119">
        <f t="shared" si="26"/>
        <v>27502184.198920142</v>
      </c>
      <c r="BH33" s="257">
        <f>'Op Cost - Performance'!E23</f>
        <v>135419722</v>
      </c>
      <c r="BI33" s="182">
        <f t="shared" si="27"/>
        <v>0.20308847037007019</v>
      </c>
      <c r="BJ33" s="183">
        <f t="shared" si="28"/>
        <v>27502184.198920142</v>
      </c>
      <c r="BK33" s="138">
        <f t="shared" si="29"/>
        <v>0</v>
      </c>
      <c r="BM33" s="52">
        <f t="shared" si="30"/>
        <v>27502184.198920142</v>
      </c>
      <c r="BN33" s="184">
        <f t="shared" si="31"/>
        <v>0.22714380864930811</v>
      </c>
      <c r="BO33" s="259">
        <f t="shared" si="32"/>
        <v>371796.44531197433</v>
      </c>
      <c r="BP33" s="259">
        <f t="shared" si="46"/>
        <v>27873980.644232117</v>
      </c>
      <c r="BQ33" s="185">
        <f t="shared" si="47"/>
        <v>0.20583398217456181</v>
      </c>
      <c r="BR33" s="142">
        <f t="shared" si="33"/>
        <v>0</v>
      </c>
      <c r="BS33" s="11"/>
      <c r="BT33" s="256">
        <f t="shared" si="34"/>
        <v>135419722</v>
      </c>
      <c r="BU33" s="186">
        <f t="shared" si="48"/>
        <v>0.20583398217456181</v>
      </c>
      <c r="BV33" s="187">
        <f t="shared" si="35"/>
        <v>27873980.644232117</v>
      </c>
      <c r="BW33" s="143">
        <f t="shared" si="36"/>
        <v>0</v>
      </c>
      <c r="BY33" s="52">
        <f t="shared" si="49"/>
        <v>27873980.644232117</v>
      </c>
      <c r="BZ33" s="188">
        <f t="shared" si="37"/>
        <v>0.22714380864930817</v>
      </c>
      <c r="CA33" s="189">
        <f t="shared" si="38"/>
        <v>0</v>
      </c>
      <c r="CB33" s="147">
        <f t="shared" si="50"/>
        <v>27873980.644232117</v>
      </c>
      <c r="CC33" s="190">
        <f t="shared" si="51"/>
        <v>0.20583398217456181</v>
      </c>
      <c r="CD33" s="148">
        <f t="shared" si="39"/>
        <v>0</v>
      </c>
      <c r="CE33" s="97"/>
      <c r="CF33" s="154">
        <f t="shared" si="40"/>
        <v>40625916.600000001</v>
      </c>
      <c r="CG33" s="189">
        <f t="shared" si="41"/>
        <v>0</v>
      </c>
      <c r="CH33" s="266">
        <f t="shared" si="42"/>
        <v>27873980.644232117</v>
      </c>
      <c r="CI33" s="155">
        <f t="shared" si="43"/>
        <v>0.20583398217456181</v>
      </c>
      <c r="CJ33" s="276">
        <f>VLOOKUP(B33,'[5]Allocation Calculations'!$B$12:$CM$49, 90, FALSE)</f>
        <v>23974960.475960296</v>
      </c>
      <c r="CK33" s="277">
        <f t="shared" si="44"/>
        <v>0.16262884654935597</v>
      </c>
      <c r="CL33" s="278">
        <f t="shared" si="52"/>
        <v>1.7920964910521908</v>
      </c>
      <c r="CM33" s="279">
        <f>'Ridership'!L23</f>
        <v>0.11074690962868992</v>
      </c>
      <c r="CN33" s="278">
        <f t="shared" si="53"/>
        <v>0</v>
      </c>
      <c r="CO33" s="280"/>
    </row>
    <row r="34" spans="1:93">
      <c r="A34" s="71" t="s">
        <v>96</v>
      </c>
      <c r="B34" s="240" t="s">
        <v>102</v>
      </c>
      <c r="C34" s="27"/>
      <c r="D34" s="70">
        <f>'Op Cost - Performance'!E24</f>
        <v>56380235</v>
      </c>
      <c r="E34" s="175">
        <f>'Ridership'!$E24</f>
        <v>2342487</v>
      </c>
      <c r="F34" s="175">
        <f>'Revenue Hours - Sizing'!E24</f>
        <v>263712.52001949801</v>
      </c>
      <c r="G34" s="175">
        <f>'Revenue Miles - Sizing'!E24</f>
        <v>6106617.3596947305</v>
      </c>
      <c r="H34" s="191">
        <f t="shared" si="45"/>
        <v>6.9749472591673009E-2</v>
      </c>
      <c r="I34" s="110">
        <f t="shared" si="0"/>
        <v>6.9749472591673009E-2</v>
      </c>
      <c r="J34" s="111"/>
      <c r="K34" s="112">
        <f>'Ridership'!B24/'Revenue Hours'!B24</f>
        <v>8.2967296709273857</v>
      </c>
      <c r="L34" s="177">
        <f>'Ridership'!C24/'Revenue Hours'!C24</f>
        <v>11.126124922661567</v>
      </c>
      <c r="M34" s="177">
        <f>'Ridership'!D24/'Revenue Hours'!D24</f>
        <v>11.306413873510943</v>
      </c>
      <c r="N34" s="177">
        <f>'Ridership'!E24/'Revenue Hours'!E24</f>
        <v>11.907508567190273</v>
      </c>
      <c r="O34" s="178">
        <f t="shared" si="1"/>
        <v>1.0239205856290963</v>
      </c>
      <c r="P34" s="179">
        <f t="shared" si="2"/>
        <v>7.1417920823386424E-2</v>
      </c>
      <c r="Q34" s="113">
        <f t="shared" si="3"/>
        <v>7.0705374665234341E-2</v>
      </c>
      <c r="R34" s="114">
        <f>'Ridership'!B24/'Revenue Miles'!B24</f>
        <v>0.37059725511859853</v>
      </c>
      <c r="S34" s="177">
        <f>'Ridership'!C24/'Revenue Miles'!C24</f>
        <v>0.50600882906492872</v>
      </c>
      <c r="T34" s="177">
        <f>'Ridership'!D24/'Revenue Miles'!D24</f>
        <v>0.52629907098117701</v>
      </c>
      <c r="U34" s="177">
        <f>'Ridership'!E24/'Revenue Miles'!E24</f>
        <v>0.58152419102858721</v>
      </c>
      <c r="V34" s="178">
        <f t="shared" si="4"/>
        <v>1.051372845810423</v>
      </c>
      <c r="W34" s="179">
        <f t="shared" si="5"/>
        <v>7.3332701492483346E-2</v>
      </c>
      <c r="X34" s="113">
        <f t="shared" si="6"/>
        <v>7.2474886346680145E-2</v>
      </c>
      <c r="Y34" s="262">
        <f>'Op Cost - Performance'!B24/'Revenue Hours'!B24</f>
        <v>270.17498640195811</v>
      </c>
      <c r="Z34" s="263">
        <f>'Op Cost - Performance'!C24/'Revenue Hours'!C24</f>
        <v>320.99602761685134</v>
      </c>
      <c r="AA34" s="263">
        <f>'Op Cost - Performance'!D24/'Revenue Hours'!D24</f>
        <v>283.52802021366966</v>
      </c>
      <c r="AB34" s="263">
        <f>'Op Cost - Performance'!E24/'Revenue Hours'!E24</f>
        <v>286.59631036701632</v>
      </c>
      <c r="AC34" s="178">
        <f t="shared" si="7"/>
        <v>0.9609052946056732</v>
      </c>
      <c r="AD34" s="179">
        <f t="shared" si="8"/>
        <v>7.2587249735465459E-2</v>
      </c>
      <c r="AE34" s="113">
        <f t="shared" si="9"/>
        <v>7.2373220131788082E-2</v>
      </c>
      <c r="AF34" s="262">
        <f>'Op Cost - Performance'!B24/'Revenue Miles'!B24</f>
        <v>12.068141585126339</v>
      </c>
      <c r="AG34" s="263">
        <f>'Op Cost - Performance'!C24/'Revenue Miles'!C24</f>
        <v>14.598687790936747</v>
      </c>
      <c r="AH34" s="263">
        <f>'Op Cost - Performance'!D24/'Revenue Miles'!D24</f>
        <v>13.197865857819492</v>
      </c>
      <c r="AI34" s="263">
        <f>'Op Cost - Performance'!E24/'Revenue Miles'!E24</f>
        <v>13.996436500342003</v>
      </c>
      <c r="AJ34" s="178">
        <f t="shared" si="10"/>
        <v>0.98672219237037284</v>
      </c>
      <c r="AK34" s="179">
        <f t="shared" si="11"/>
        <v>7.0688054987509658E-2</v>
      </c>
      <c r="AL34" s="113">
        <f t="shared" si="12"/>
        <v>7.0614043931357173E-2</v>
      </c>
      <c r="AM34" s="262">
        <f>'Op Cost - Performance'!B24/'Ridership'!B24</f>
        <v>32.564033916722593</v>
      </c>
      <c r="AN34" s="263">
        <f>'Op Cost - Performance'!C24/'Ridership'!C24</f>
        <v>28.850658234391222</v>
      </c>
      <c r="AO34" s="263">
        <f>'Op Cost - Performance'!D24/'Ridership'!D24</f>
        <v>25.07674169596152</v>
      </c>
      <c r="AP34" s="263">
        <f>'Op Cost - Performance'!E24/'Ridership'!E24</f>
        <v>24.068536986544643</v>
      </c>
      <c r="AQ34" s="178">
        <f t="shared" si="13"/>
        <v>0.93677005844083461</v>
      </c>
      <c r="AR34" s="179">
        <f t="shared" si="14"/>
        <v>7.4457410293156071E-2</v>
      </c>
      <c r="AS34" s="115">
        <f t="shared" si="15"/>
        <v>7.419813243091776E-2</v>
      </c>
      <c r="AT34" s="111"/>
      <c r="AU34" s="116">
        <f t="shared" si="16"/>
        <v>1.4141074933046869E-2</v>
      </c>
      <c r="AV34" s="180">
        <f t="shared" si="17"/>
        <v>1.449497726933603E-2</v>
      </c>
      <c r="AW34" s="180">
        <f t="shared" si="18"/>
        <v>1.4474644026357618E-2</v>
      </c>
      <c r="AX34" s="180">
        <f t="shared" si="19"/>
        <v>1.4122808786271436E-2</v>
      </c>
      <c r="AY34" s="117">
        <f t="shared" si="20"/>
        <v>1.4839626486183553E-2</v>
      </c>
      <c r="AZ34" s="111"/>
      <c r="BA34" s="118">
        <f t="shared" si="21"/>
        <v>1962783.8592289928</v>
      </c>
      <c r="BB34" s="181">
        <f t="shared" si="22"/>
        <v>2011905.5700395675</v>
      </c>
      <c r="BC34" s="181">
        <f t="shared" si="23"/>
        <v>2009083.3120915142</v>
      </c>
      <c r="BD34" s="181">
        <f t="shared" si="24"/>
        <v>1960248.5146225272</v>
      </c>
      <c r="BE34" s="181">
        <f t="shared" si="25"/>
        <v>2059742.9461320566</v>
      </c>
      <c r="BF34" s="119">
        <f t="shared" si="26"/>
        <v>10003764.202114658</v>
      </c>
      <c r="BH34" s="257">
        <f>'Op Cost - Performance'!E24</f>
        <v>56380235</v>
      </c>
      <c r="BI34" s="182">
        <f t="shared" si="27"/>
        <v>0.17743388622120249</v>
      </c>
      <c r="BJ34" s="183">
        <f t="shared" si="28"/>
        <v>10003764.202114658</v>
      </c>
      <c r="BK34" s="138">
        <f t="shared" si="29"/>
        <v>0</v>
      </c>
      <c r="BM34" s="52">
        <f t="shared" si="30"/>
        <v>10003764.202114658</v>
      </c>
      <c r="BN34" s="184">
        <f t="shared" si="31"/>
        <v>8.2622277753021181E-2</v>
      </c>
      <c r="BO34" s="259">
        <f t="shared" si="32"/>
        <v>135238.85750977727</v>
      </c>
      <c r="BP34" s="259">
        <f t="shared" si="46"/>
        <v>10139003.059624435</v>
      </c>
      <c r="BQ34" s="185">
        <f t="shared" si="47"/>
        <v>0.17983257891040069</v>
      </c>
      <c r="BR34" s="142">
        <f t="shared" si="33"/>
        <v>0</v>
      </c>
      <c r="BS34" s="11"/>
      <c r="BT34" s="256">
        <f t="shared" si="34"/>
        <v>56380235</v>
      </c>
      <c r="BU34" s="186">
        <f t="shared" si="48"/>
        <v>0.17983257891040069</v>
      </c>
      <c r="BV34" s="187">
        <f t="shared" si="35"/>
        <v>10139003.059624435</v>
      </c>
      <c r="BW34" s="143">
        <f t="shared" si="36"/>
        <v>0</v>
      </c>
      <c r="BY34" s="52">
        <f t="shared" si="49"/>
        <v>10139003.059624435</v>
      </c>
      <c r="BZ34" s="188">
        <f t="shared" si="37"/>
        <v>8.2622277753021195E-2</v>
      </c>
      <c r="CA34" s="189">
        <f t="shared" si="38"/>
        <v>0</v>
      </c>
      <c r="CB34" s="147">
        <f t="shared" si="50"/>
        <v>10139003.059624435</v>
      </c>
      <c r="CC34" s="190">
        <f t="shared" si="51"/>
        <v>0.17983257891040069</v>
      </c>
      <c r="CD34" s="148">
        <f t="shared" si="39"/>
        <v>0</v>
      </c>
      <c r="CE34" s="97"/>
      <c r="CF34" s="154">
        <f t="shared" si="40"/>
        <v>16914070.5</v>
      </c>
      <c r="CG34" s="189">
        <f t="shared" si="41"/>
        <v>0</v>
      </c>
      <c r="CH34" s="266">
        <f t="shared" si="42"/>
        <v>10139003.059624435</v>
      </c>
      <c r="CI34" s="155">
        <f t="shared" si="43"/>
        <v>0.17983257891040069</v>
      </c>
      <c r="CJ34" s="276">
        <f>VLOOKUP(B34,'[5]Allocation Calculations'!$B$12:$CM$49, 90, FALSE)</f>
        <v>8680792.6820716076</v>
      </c>
      <c r="CK34" s="277">
        <f t="shared" si="44"/>
        <v>0.16798124675462664</v>
      </c>
      <c r="CL34" s="278">
        <f t="shared" si="52"/>
        <v>1.851077525660104</v>
      </c>
      <c r="CM34" s="279">
        <f>'Ridership'!L24</f>
        <v>0.18758827746271942</v>
      </c>
      <c r="CN34" s="278">
        <f t="shared" si="53"/>
        <v>0</v>
      </c>
      <c r="CO34" s="280"/>
    </row>
    <row r="35" spans="1:93">
      <c r="A35" s="71" t="s">
        <v>103</v>
      </c>
      <c r="B35" s="240" t="s">
        <v>104</v>
      </c>
      <c r="C35" s="27"/>
      <c r="D35" s="70">
        <f>'Op Cost - Performance'!E25</f>
        <v>5582819</v>
      </c>
      <c r="E35" s="175">
        <f>'Ridership'!$E25</f>
        <v>511726</v>
      </c>
      <c r="F35" s="175">
        <f>'Revenue Hours - Sizing'!E25</f>
        <v>44373</v>
      </c>
      <c r="G35" s="175">
        <f>'Revenue Miles - Sizing'!E25</f>
        <v>571373</v>
      </c>
      <c r="H35" s="176">
        <f t="shared" si="45"/>
        <v>8.6629637923855262E-3</v>
      </c>
      <c r="I35" s="110">
        <f t="shared" si="0"/>
        <v>8.6629637923855262E-3</v>
      </c>
      <c r="J35" s="111"/>
      <c r="K35" s="112">
        <f>'Ridership'!B25/'Revenue Hours'!B25</f>
        <v>8.5454680032144825</v>
      </c>
      <c r="L35" s="177">
        <f>'Ridership'!C25/'Revenue Hours'!C25</f>
        <v>10.854112978631212</v>
      </c>
      <c r="M35" s="177">
        <f>'Ridership'!D25/'Revenue Hours'!D25</f>
        <v>11.340132291040289</v>
      </c>
      <c r="N35" s="177">
        <f>'Ridership'!E25/'Revenue Hours'!E25</f>
        <v>11.532373290063777</v>
      </c>
      <c r="O35" s="178">
        <f t="shared" si="1"/>
        <v>1.0014814262909837</v>
      </c>
      <c r="P35" s="179">
        <f t="shared" si="2"/>
        <v>8.6757973347054065E-3</v>
      </c>
      <c r="Q35" s="113">
        <f t="shared" si="3"/>
        <v>8.5892377431004089E-3</v>
      </c>
      <c r="R35" s="114">
        <f>'Ridership'!B25/'Revenue Miles'!B25</f>
        <v>0.7290038463481342</v>
      </c>
      <c r="S35" s="177">
        <f>'Ridership'!C25/'Revenue Miles'!C25</f>
        <v>0.86015998033680452</v>
      </c>
      <c r="T35" s="177">
        <f>'Ridership'!D25/'Revenue Miles'!D25</f>
        <v>0.8741584575135769</v>
      </c>
      <c r="U35" s="177">
        <f>'Ridership'!E25/'Revenue Miles'!E25</f>
        <v>0.89560759783888988</v>
      </c>
      <c r="V35" s="178">
        <f t="shared" si="4"/>
        <v>0.96678169138976122</v>
      </c>
      <c r="W35" s="179">
        <f t="shared" si="5"/>
        <v>8.3751947876507388E-3</v>
      </c>
      <c r="X35" s="113">
        <f t="shared" si="6"/>
        <v>8.2772252762093098E-3</v>
      </c>
      <c r="Y35" s="262">
        <f>'Op Cost - Performance'!B25/'Revenue Hours'!B25</f>
        <v>86.295224802267057</v>
      </c>
      <c r="Z35" s="263">
        <f>'Op Cost - Performance'!C25/'Revenue Hours'!C25</f>
        <v>108.01972678966453</v>
      </c>
      <c r="AA35" s="263">
        <f>'Op Cost - Performance'!D25/'Revenue Hours'!D25</f>
        <v>94.504918821407102</v>
      </c>
      <c r="AB35" s="263">
        <f>'Op Cost - Performance'!E25/'Revenue Hours'!E25</f>
        <v>125.81567619949068</v>
      </c>
      <c r="AC35" s="178">
        <f t="shared" si="7"/>
        <v>1.0772506029696165</v>
      </c>
      <c r="AD35" s="179">
        <f t="shared" si="8"/>
        <v>8.0417349208296175E-3</v>
      </c>
      <c r="AE35" s="113">
        <f t="shared" si="9"/>
        <v>8.01802318985405E-3</v>
      </c>
      <c r="AF35" s="262">
        <f>'Op Cost - Performance'!B25/'Revenue Miles'!B25</f>
        <v>7.3617443513527165</v>
      </c>
      <c r="AG35" s="263">
        <f>'Op Cost - Performance'!C25/'Revenue Miles'!C25</f>
        <v>8.5602799836621983</v>
      </c>
      <c r="AH35" s="263">
        <f>'Op Cost - Performance'!D25/'Revenue Miles'!D25</f>
        <v>7.2849480009715633</v>
      </c>
      <c r="AI35" s="263">
        <f>'Op Cost - Performance'!E25/'Revenue Miles'!E25</f>
        <v>9.7708834684173027</v>
      </c>
      <c r="AJ35" s="178">
        <f t="shared" si="10"/>
        <v>1.0425730290950916</v>
      </c>
      <c r="AK35" s="179">
        <f t="shared" si="11"/>
        <v>8.3092153265317097E-3</v>
      </c>
      <c r="AL35" s="113">
        <f t="shared" si="12"/>
        <v>8.300515500200039E-3</v>
      </c>
      <c r="AM35" s="262">
        <f>'Op Cost - Performance'!B25/'Ridership'!B25</f>
        <v>10.098361467131589</v>
      </c>
      <c r="AN35" s="263">
        <f>'Op Cost - Performance'!C25/'Ridership'!C25</f>
        <v>9.9519626341024754</v>
      </c>
      <c r="AO35" s="263">
        <f>'Op Cost - Performance'!D25/'Ridership'!D25</f>
        <v>8.3336698722707467</v>
      </c>
      <c r="AP35" s="263">
        <f>'Op Cost - Performance'!E25/'Ridership'!E25</f>
        <v>10.909781797289956</v>
      </c>
      <c r="AQ35" s="264">
        <f t="shared" si="13"/>
        <v>1.0771507689659856</v>
      </c>
      <c r="AR35" s="179">
        <f t="shared" si="14"/>
        <v>8.0424802562240813E-3</v>
      </c>
      <c r="AS35" s="115">
        <f t="shared" si="15"/>
        <v>8.0144744864864888E-3</v>
      </c>
      <c r="AT35" s="111"/>
      <c r="AU35" s="116">
        <f t="shared" si="16"/>
        <v>1.7178475486200819E-3</v>
      </c>
      <c r="AV35" s="180">
        <f t="shared" si="17"/>
        <v>1.655445055241862E-3</v>
      </c>
      <c r="AW35" s="180">
        <f t="shared" si="18"/>
        <v>1.6036046379708101E-3</v>
      </c>
      <c r="AX35" s="180">
        <f t="shared" si="19"/>
        <v>1.660103100040008E-3</v>
      </c>
      <c r="AY35" s="117">
        <f t="shared" si="20"/>
        <v>1.6028948972972978E-3</v>
      </c>
      <c r="AZ35" s="111"/>
      <c r="BA35" s="118">
        <f t="shared" si="21"/>
        <v>238437.5627038065</v>
      </c>
      <c r="BB35" s="181">
        <f t="shared" si="22"/>
        <v>229776.08489124084</v>
      </c>
      <c r="BC35" s="181">
        <f t="shared" si="23"/>
        <v>222580.62522802039</v>
      </c>
      <c r="BD35" s="181">
        <f t="shared" si="24"/>
        <v>230422.62238493591</v>
      </c>
      <c r="BE35" s="181">
        <f t="shared" si="25"/>
        <v>222482.11308910561</v>
      </c>
      <c r="BF35" s="119">
        <f t="shared" si="26"/>
        <v>1143699.0082971093</v>
      </c>
      <c r="BH35" s="257">
        <f>'Op Cost - Performance'!E25</f>
        <v>5582819</v>
      </c>
      <c r="BI35" s="182">
        <f t="shared" si="27"/>
        <v>0.20486048505192614</v>
      </c>
      <c r="BJ35" s="183">
        <f t="shared" si="28"/>
        <v>1143699.0082971093</v>
      </c>
      <c r="BK35" s="138">
        <f t="shared" si="29"/>
        <v>0</v>
      </c>
      <c r="BM35" s="52">
        <f t="shared" si="30"/>
        <v>1143699.0082971093</v>
      </c>
      <c r="BN35" s="184">
        <f t="shared" si="31"/>
        <v>9.4459460679214811E-3</v>
      </c>
      <c r="BO35" s="259">
        <f t="shared" si="32"/>
        <v>15461.434725187812</v>
      </c>
      <c r="BP35" s="259">
        <f t="shared" si="46"/>
        <v>1159160.443022297</v>
      </c>
      <c r="BQ35" s="185">
        <f t="shared" si="47"/>
        <v>0.20762995236318732</v>
      </c>
      <c r="BR35" s="142">
        <f t="shared" si="33"/>
        <v>0</v>
      </c>
      <c r="BS35" s="11"/>
      <c r="BT35" s="256">
        <f t="shared" si="34"/>
        <v>5582819</v>
      </c>
      <c r="BU35" s="186">
        <f t="shared" si="48"/>
        <v>0.20762995236318732</v>
      </c>
      <c r="BV35" s="187">
        <f t="shared" si="35"/>
        <v>1159160.443022297</v>
      </c>
      <c r="BW35" s="143">
        <f t="shared" si="36"/>
        <v>0</v>
      </c>
      <c r="BY35" s="52">
        <f t="shared" si="49"/>
        <v>1159160.443022297</v>
      </c>
      <c r="BZ35" s="188">
        <f t="shared" si="37"/>
        <v>9.4459460679214829E-3</v>
      </c>
      <c r="CA35" s="189">
        <f t="shared" si="38"/>
        <v>0</v>
      </c>
      <c r="CB35" s="147">
        <f t="shared" si="50"/>
        <v>1159160.443022297</v>
      </c>
      <c r="CC35" s="190">
        <f t="shared" si="51"/>
        <v>0.20762995236318732</v>
      </c>
      <c r="CD35" s="148">
        <f t="shared" si="39"/>
        <v>0</v>
      </c>
      <c r="CE35" s="97"/>
      <c r="CF35" s="154">
        <f t="shared" si="40"/>
        <v>1674845.7</v>
      </c>
      <c r="CG35" s="189">
        <f t="shared" si="41"/>
        <v>0</v>
      </c>
      <c r="CH35" s="266">
        <f t="shared" si="42"/>
        <v>1159160.443022297</v>
      </c>
      <c r="CI35" s="155">
        <f t="shared" si="43"/>
        <v>0.20762995236318732</v>
      </c>
      <c r="CJ35" s="276">
        <f>VLOOKUP(B35,'[5]Allocation Calculations'!$B$12:$CM$49, 90, FALSE)</f>
        <v>1036983.6780129499</v>
      </c>
      <c r="CK35" s="277">
        <f t="shared" si="44"/>
        <v>0.1178193713168756</v>
      </c>
      <c r="CL35" s="278">
        <f t="shared" si="52"/>
        <v>1.298316297477202</v>
      </c>
      <c r="CM35" s="279">
        <f>'Ridership'!L25</f>
        <v>8.5393220295843175E-2</v>
      </c>
      <c r="CN35" s="278">
        <f t="shared" si="53"/>
        <v>0</v>
      </c>
      <c r="CO35" s="280"/>
    </row>
    <row r="36" spans="1:93">
      <c r="A36" s="71" t="s">
        <v>103</v>
      </c>
      <c r="B36" s="240" t="s">
        <v>105</v>
      </c>
      <c r="C36" s="27"/>
      <c r="D36" s="70">
        <f>'Op Cost - Performance'!E26</f>
        <v>83270105</v>
      </c>
      <c r="E36" s="175">
        <f>'Ridership'!$E26</f>
        <v>12101467</v>
      </c>
      <c r="F36" s="175">
        <f>'Revenue Hours - Sizing'!E26</f>
        <v>736249</v>
      </c>
      <c r="G36" s="175">
        <f>'Revenue Miles - Sizing'!E26</f>
        <v>9041020</v>
      </c>
      <c r="H36" s="191">
        <f t="shared" si="45"/>
        <v>0.15434086137488429</v>
      </c>
      <c r="I36" s="110">
        <f t="shared" si="0"/>
        <v>0.15434086137488429</v>
      </c>
      <c r="J36" s="111"/>
      <c r="K36" s="112">
        <f>'Ridership'!B26/'Revenue Hours'!B26</f>
        <v>14.999735241854868</v>
      </c>
      <c r="L36" s="177">
        <f>'Ridership'!C26/'Revenue Hours'!C26</f>
        <v>16.535848596310085</v>
      </c>
      <c r="M36" s="177">
        <f>'Ridership'!D26/'Revenue Hours'!D26</f>
        <v>17.148627838667668</v>
      </c>
      <c r="N36" s="177">
        <f>'Ridership'!E26/'Revenue Hours'!E26</f>
        <v>16.451084348486887</v>
      </c>
      <c r="O36" s="178">
        <f t="shared" si="1"/>
        <v>0.93375671384112591</v>
      </c>
      <c r="P36" s="179">
        <f t="shared" si="2"/>
        <v>0.14411681552882072</v>
      </c>
      <c r="Q36" s="113">
        <f t="shared" si="3"/>
        <v>0.14267894276458665</v>
      </c>
      <c r="R36" s="114">
        <f>'Ridership'!B26/'Revenue Miles'!B26</f>
        <v>1.2009259173704827</v>
      </c>
      <c r="S36" s="177">
        <f>'Ridership'!C26/'Revenue Miles'!C26</f>
        <v>1.3773946096971872</v>
      </c>
      <c r="T36" s="177">
        <f>'Ridership'!D26/'Revenue Miles'!D26</f>
        <v>1.4121637665246516</v>
      </c>
      <c r="U36" s="177">
        <f>'Ridership'!E26/'Revenue Miles'!E26</f>
        <v>1.3401851313299735</v>
      </c>
      <c r="V36" s="178">
        <f t="shared" si="4"/>
        <v>0.9366606693670011</v>
      </c>
      <c r="W36" s="179">
        <f t="shared" si="5"/>
        <v>0.14456501452607864</v>
      </c>
      <c r="X36" s="113">
        <f t="shared" si="6"/>
        <v>0.1428739536966008</v>
      </c>
      <c r="Y36" s="262">
        <f>'Op Cost - Performance'!B26/'Revenue Hours'!B26</f>
        <v>99.059409351732896</v>
      </c>
      <c r="Z36" s="263">
        <f>'Op Cost - Performance'!C26/'Revenue Hours'!C26</f>
        <v>118.20332157650328</v>
      </c>
      <c r="AA36" s="263">
        <f>'Op Cost - Performance'!D26/'Revenue Hours'!D26</f>
        <v>121.25076125565198</v>
      </c>
      <c r="AB36" s="263">
        <f>'Op Cost - Performance'!E26/'Revenue Hours'!E26</f>
        <v>113.19978983228725</v>
      </c>
      <c r="AC36" s="178">
        <f t="shared" si="7"/>
        <v>0.98425388823243531</v>
      </c>
      <c r="AD36" s="179">
        <f t="shared" si="8"/>
        <v>0.15681000930771644</v>
      </c>
      <c r="AE36" s="113">
        <f t="shared" si="9"/>
        <v>0.15634764182214439</v>
      </c>
      <c r="AF36" s="262">
        <f>'Op Cost - Performance'!B26/'Revenue Miles'!B26</f>
        <v>7.9310074565820816</v>
      </c>
      <c r="AG36" s="263">
        <f>'Op Cost - Performance'!C26/'Revenue Miles'!C26</f>
        <v>9.8460394723322455</v>
      </c>
      <c r="AH36" s="263">
        <f>'Op Cost - Performance'!D26/'Revenue Miles'!D26</f>
        <v>9.9848182210050158</v>
      </c>
      <c r="AI36" s="263">
        <f>'Op Cost - Performance'!E26/'Revenue Miles'!E26</f>
        <v>9.2218039850280711</v>
      </c>
      <c r="AJ36" s="178">
        <f t="shared" si="10"/>
        <v>0.98914945416664057</v>
      </c>
      <c r="AK36" s="179">
        <f t="shared" si="11"/>
        <v>0.15603391451589751</v>
      </c>
      <c r="AL36" s="113">
        <f t="shared" si="12"/>
        <v>0.15587054554484622</v>
      </c>
      <c r="AM36" s="262">
        <f>'Op Cost - Performance'!B26/'Ridership'!B26</f>
        <v>6.6040771889973175</v>
      </c>
      <c r="AN36" s="263">
        <f>'Op Cost - Performance'!C26/'Ridership'!C26</f>
        <v>7.148306957943479</v>
      </c>
      <c r="AO36" s="263">
        <f>'Op Cost - Performance'!D26/'Ridership'!D26</f>
        <v>7.0705809465553333</v>
      </c>
      <c r="AP36" s="263">
        <f>'Op Cost - Performance'!E26/'Ridership'!E26</f>
        <v>6.8809926102347756</v>
      </c>
      <c r="AQ36" s="178">
        <f t="shared" si="13"/>
        <v>1.0535629351990357</v>
      </c>
      <c r="AR36" s="179">
        <f t="shared" si="14"/>
        <v>0.14649420192987969</v>
      </c>
      <c r="AS36" s="115">
        <f t="shared" si="15"/>
        <v>0.14598407535742519</v>
      </c>
      <c r="AT36" s="111"/>
      <c r="AU36" s="116">
        <f t="shared" si="16"/>
        <v>2.8535788552917329E-2</v>
      </c>
      <c r="AV36" s="180">
        <f t="shared" si="17"/>
        <v>2.8574790739320163E-2</v>
      </c>
      <c r="AW36" s="180">
        <f t="shared" si="18"/>
        <v>3.1269528364428881E-2</v>
      </c>
      <c r="AX36" s="180">
        <f t="shared" si="19"/>
        <v>3.1174109108969245E-2</v>
      </c>
      <c r="AY36" s="117">
        <f t="shared" si="20"/>
        <v>2.9196815071485041E-2</v>
      </c>
      <c r="AZ36" s="111"/>
      <c r="BA36" s="118">
        <f t="shared" si="21"/>
        <v>3960772.8158731731</v>
      </c>
      <c r="BB36" s="181">
        <f t="shared" si="22"/>
        <v>3966186.3266782975</v>
      </c>
      <c r="BC36" s="181">
        <f t="shared" si="23"/>
        <v>4340216.4156540614</v>
      </c>
      <c r="BD36" s="181">
        <f t="shared" si="24"/>
        <v>4326972.2050574441</v>
      </c>
      <c r="BE36" s="181">
        <f t="shared" si="25"/>
        <v>4052523.4209233574</v>
      </c>
      <c r="BF36" s="120">
        <f t="shared" si="26"/>
        <v>20646671.184186332</v>
      </c>
      <c r="BG36" s="42"/>
      <c r="BH36" s="257">
        <f>'Op Cost - Performance'!E26</f>
        <v>83270105</v>
      </c>
      <c r="BI36" s="182">
        <f t="shared" si="27"/>
        <v>0.24794818241416092</v>
      </c>
      <c r="BJ36" s="187">
        <f t="shared" si="28"/>
        <v>20646671.184186332</v>
      </c>
      <c r="BK36" s="138">
        <f t="shared" si="29"/>
        <v>0</v>
      </c>
      <c r="BM36" s="52">
        <f t="shared" si="30"/>
        <v>20646671.184186332</v>
      </c>
      <c r="BN36" s="184">
        <f t="shared" si="31"/>
        <v>0.17052331170446253</v>
      </c>
      <c r="BO36" s="259">
        <f t="shared" si="32"/>
        <v>279118.1565174397</v>
      </c>
      <c r="BP36" s="259">
        <f t="shared" si="46"/>
        <v>20925789.340703771</v>
      </c>
      <c r="BQ36" s="185">
        <f t="shared" si="47"/>
        <v>0.25130014355936947</v>
      </c>
      <c r="BR36" s="142">
        <f t="shared" si="33"/>
        <v>0</v>
      </c>
      <c r="BS36" s="11"/>
      <c r="BT36" s="256">
        <f t="shared" si="34"/>
        <v>83270105</v>
      </c>
      <c r="BU36" s="186">
        <f t="shared" si="48"/>
        <v>0.25130014355936947</v>
      </c>
      <c r="BV36" s="187">
        <f t="shared" si="35"/>
        <v>20925789.340703771</v>
      </c>
      <c r="BW36" s="143">
        <f t="shared" si="36"/>
        <v>0</v>
      </c>
      <c r="BY36" s="52">
        <f t="shared" si="49"/>
        <v>20925789.340703771</v>
      </c>
      <c r="BZ36" s="188">
        <f t="shared" si="37"/>
        <v>0.17052331170446258</v>
      </c>
      <c r="CA36" s="189">
        <f t="shared" si="38"/>
        <v>0</v>
      </c>
      <c r="CB36" s="147">
        <f t="shared" si="50"/>
        <v>20925789.340703771</v>
      </c>
      <c r="CC36" s="190">
        <f t="shared" si="51"/>
        <v>0.25130014355936947</v>
      </c>
      <c r="CD36" s="148">
        <f t="shared" si="39"/>
        <v>0</v>
      </c>
      <c r="CE36" s="97"/>
      <c r="CF36" s="154">
        <f t="shared" si="40"/>
        <v>24981031.5</v>
      </c>
      <c r="CG36" s="189">
        <f t="shared" si="41"/>
        <v>0</v>
      </c>
      <c r="CH36" s="266">
        <f t="shared" si="42"/>
        <v>20925789.340703771</v>
      </c>
      <c r="CI36" s="155">
        <f t="shared" si="43"/>
        <v>0.25130014355936947</v>
      </c>
      <c r="CJ36" s="276">
        <f>VLOOKUP(B36,'[5]Allocation Calculations'!$B$12:$CM$49, 90, FALSE)</f>
        <v>19149752.348223709</v>
      </c>
      <c r="CK36" s="277">
        <f t="shared" si="44"/>
        <v>9.2744645475522483E-2</v>
      </c>
      <c r="CL36" s="278">
        <f t="shared" si="52"/>
        <v>1.0220041354724929</v>
      </c>
      <c r="CM36" s="279">
        <f>'Ridership'!L26</f>
        <v>0.11801024582988848</v>
      </c>
      <c r="CN36" s="278">
        <f t="shared" si="53"/>
        <v>0</v>
      </c>
      <c r="CO36" s="280"/>
    </row>
    <row r="37" spans="1:93">
      <c r="A37" s="71" t="s">
        <v>106</v>
      </c>
      <c r="B37" s="240" t="s">
        <v>173</v>
      </c>
      <c r="C37" s="27"/>
      <c r="D37" s="70">
        <f>'Op Cost - Performance'!E27</f>
        <v>174101</v>
      </c>
      <c r="E37" s="175">
        <f>'Ridership'!$E27</f>
        <v>7175</v>
      </c>
      <c r="F37" s="175">
        <f>'Revenue Hours - Sizing'!E27</f>
        <v>1600</v>
      </c>
      <c r="G37" s="175">
        <f>'Revenue Miles - Sizing'!E27</f>
        <v>19549</v>
      </c>
      <c r="H37" s="191">
        <f t="shared" si="45"/>
        <v>2.3221580436230983E-4</v>
      </c>
      <c r="I37" s="110">
        <f t="shared" si="0"/>
        <v>2.3221580436230983E-4</v>
      </c>
      <c r="J37" s="111"/>
      <c r="K37" s="112">
        <v>0</v>
      </c>
      <c r="L37" s="177">
        <f>'Ridership'!C27/'Revenue Hours'!C27</f>
        <v>3.7652582159624415</v>
      </c>
      <c r="M37" s="177">
        <f>'Ridership'!D27/'Revenue Hours'!D27</f>
        <v>4.0764058679706601</v>
      </c>
      <c r="N37" s="177">
        <f>'Ridership'!E27/'Revenue Hours'!E27</f>
        <v>4.484375</v>
      </c>
      <c r="O37" s="178">
        <f t="shared" si="1"/>
        <v>1.0149303960100216</v>
      </c>
      <c r="P37" s="179">
        <f t="shared" ref="P37" si="54">$I37*O37</f>
        <v>2.3568287828122482E-4</v>
      </c>
      <c r="Q37" s="113">
        <f t="shared" si="3"/>
        <v>2.3333143864919174E-4</v>
      </c>
      <c r="R37" s="114">
        <v>0</v>
      </c>
      <c r="S37" s="177">
        <f>'Ridership'!C27/'Revenue Miles'!C27</f>
        <v>0.27907300438443872</v>
      </c>
      <c r="T37" s="177">
        <f>'Ridership'!D27/'Revenue Miles'!D27</f>
        <v>0.31877061325940442</v>
      </c>
      <c r="U37" s="177">
        <f>'Ridership'!E27/'Revenue Miles'!E27</f>
        <v>0.36702644636554299</v>
      </c>
      <c r="V37" s="178">
        <f t="shared" si="4"/>
        <v>1.0479132361127557</v>
      </c>
      <c r="W37" s="179">
        <f t="shared" ref="W37" si="55">$I37*V37</f>
        <v>2.4334201502583465E-4</v>
      </c>
      <c r="X37" s="113">
        <f t="shared" si="6"/>
        <v>2.4049550232616511E-4</v>
      </c>
      <c r="Y37" s="262">
        <v>0</v>
      </c>
      <c r="Z37" s="263">
        <f>'Op Cost - Performance'!C27/'Revenue Hours'!C27</f>
        <v>104.75305164319249</v>
      </c>
      <c r="AA37" s="263">
        <f>'Op Cost - Performance'!D27/'Revenue Hours'!D27</f>
        <v>101.24938875305624</v>
      </c>
      <c r="AB37" s="263">
        <f>'Op Cost - Performance'!E27/'Revenue Hours'!E27</f>
        <v>108.813125</v>
      </c>
      <c r="AC37" s="178">
        <f t="shared" si="7"/>
        <v>0.98947017763932632</v>
      </c>
      <c r="AD37" s="179">
        <f t="shared" ref="AD37" si="56">$I37*(1/AC37)</f>
        <v>2.3468701696126838E-4</v>
      </c>
      <c r="AE37" s="113">
        <f t="shared" si="9"/>
        <v>2.3399502257642112E-4</v>
      </c>
      <c r="AF37" s="262">
        <v>0</v>
      </c>
      <c r="AG37" s="263">
        <f>'Op Cost - Performance'!C27/'Revenue Miles'!C27</f>
        <v>7.7640754401837286</v>
      </c>
      <c r="AH37" s="263">
        <f>'Op Cost - Performance'!D27/'Revenue Miles'!D27</f>
        <v>7.9175947612446826</v>
      </c>
      <c r="AI37" s="263">
        <f>'Op Cost - Performance'!E27/'Revenue Miles'!E27</f>
        <v>8.9058775384930176</v>
      </c>
      <c r="AJ37" s="178">
        <f t="shared" si="10"/>
        <v>1.0088496641342009</v>
      </c>
      <c r="AK37" s="179">
        <f t="shared" ref="AK37" si="57">$I37*(1/AJ37)</f>
        <v>2.3017879929771145E-4</v>
      </c>
      <c r="AL37" s="113">
        <f t="shared" si="12"/>
        <v>2.2993779993731112E-4</v>
      </c>
      <c r="AM37" s="262">
        <v>0</v>
      </c>
      <c r="AN37" s="263">
        <f>'Op Cost - Performance'!C27/'Ridership'!C27</f>
        <v>27.820947630922692</v>
      </c>
      <c r="AO37" s="263">
        <f>'Op Cost - Performance'!D27/'Ridership'!D27</f>
        <v>24.837906732643575</v>
      </c>
      <c r="AP37" s="263">
        <f>'Op Cost - Performance'!E27/'Ridership'!E27</f>
        <v>24.264947735191637</v>
      </c>
      <c r="AQ37" s="178">
        <f t="shared" si="13"/>
        <v>0.96341400675239663</v>
      </c>
      <c r="AR37" s="179">
        <f t="shared" ref="AR37" si="58">$I37*(1/AQ37)</f>
        <v>2.4103428301306678E-4</v>
      </c>
      <c r="AS37" s="115">
        <f t="shared" si="15"/>
        <v>2.4019494609039225E-4</v>
      </c>
      <c r="AT37" s="111"/>
      <c r="AU37" s="116">
        <f t="shared" ref="AU37" si="59">Q37*AU$6</f>
        <v>4.6666287729838351E-5</v>
      </c>
      <c r="AV37" s="180">
        <f t="shared" ref="AV37" si="60">X37*AV$6</f>
        <v>4.8099100465233024E-5</v>
      </c>
      <c r="AW37" s="180">
        <f t="shared" ref="AW37" si="61">AE37*AW$6</f>
        <v>4.6799004515284228E-5</v>
      </c>
      <c r="AX37" s="180">
        <f t="shared" ref="AX37" si="62">AL37*AX$6</f>
        <v>4.5987559987462229E-5</v>
      </c>
      <c r="AY37" s="117">
        <f t="shared" ref="AY37" si="63">AS37*AY$6</f>
        <v>4.8038989218078453E-5</v>
      </c>
      <c r="AZ37" s="111"/>
      <c r="BA37" s="118">
        <f t="shared" ref="BA37" si="64">AU37*$BA$6</f>
        <v>6477.2895101636568</v>
      </c>
      <c r="BB37" s="181">
        <f t="shared" ref="BB37" si="65">AV37*$BA$6</f>
        <v>6676.1641872052314</v>
      </c>
      <c r="BC37" s="181">
        <f t="shared" ref="BC37" si="66">AW37*$BA$6</f>
        <v>6495.7106249342996</v>
      </c>
      <c r="BD37" s="181">
        <f t="shared" ref="BD37" si="67">AX37*$BA$6</f>
        <v>6383.0819719210349</v>
      </c>
      <c r="BE37" s="181">
        <f t="shared" ref="BE37" si="68">AY37*$BA$6</f>
        <v>6667.820734799262</v>
      </c>
      <c r="BF37" s="120">
        <f t="shared" ref="BF37" si="69">SUM(BA37:BE37)</f>
        <v>32700.067029023481</v>
      </c>
      <c r="BG37" s="42"/>
      <c r="BH37" s="257">
        <f>'Op Cost - Performance'!E27</f>
        <v>174101</v>
      </c>
      <c r="BI37" s="182">
        <f t="shared" ref="BI37" si="70">BF37/BH37</f>
        <v>0.18782239636201678</v>
      </c>
      <c r="BJ37" s="187">
        <f t="shared" ref="BJ37" si="71">IF(BF37&gt;BH37*$BJ$6,BH37*$BJ$6,BF37)</f>
        <v>32700.067029023481</v>
      </c>
      <c r="BK37" s="138">
        <f t="shared" ref="BK37" si="72">BF37-BJ37</f>
        <v>0</v>
      </c>
      <c r="BM37" s="52">
        <f t="shared" ref="BM37" si="73">IF(OR(BK37&gt;0,BI37&gt;=$BJ$6),0,BJ37)</f>
        <v>32700.067029023481</v>
      </c>
      <c r="BN37" s="184">
        <f t="shared" si="31"/>
        <v>2.7007374084679788E-4</v>
      </c>
      <c r="BO37" s="259">
        <f t="shared" ref="BO37" si="74">BN37*$BM$6</f>
        <v>442.06556813518796</v>
      </c>
      <c r="BP37" s="259">
        <f t="shared" ref="BP37" si="75">(BO37+BJ37)</f>
        <v>33142.13259715867</v>
      </c>
      <c r="BQ37" s="185">
        <f t="shared" ref="BQ37" si="76">BP37/BH37</f>
        <v>0.19036152921096761</v>
      </c>
      <c r="BR37" s="142">
        <f t="shared" ref="BR37" si="77">IF(BP37&gt;($BJ$6*BH37),1,0)</f>
        <v>0</v>
      </c>
      <c r="BS37" s="11"/>
      <c r="BT37" s="256">
        <f t="shared" ref="BT37" si="78">BH37</f>
        <v>174101</v>
      </c>
      <c r="BU37" s="186">
        <f t="shared" ref="BU37" si="79">BP37/BT37</f>
        <v>0.19036152921096761</v>
      </c>
      <c r="BV37" s="187">
        <f t="shared" ref="BV37" si="80">IF(BP37&gt;BH37*$BJ$6,BH37*$BJ$6,BP37)</f>
        <v>33142.13259715867</v>
      </c>
      <c r="BW37" s="143">
        <f t="shared" ref="BW37" si="81">BP37-BV37</f>
        <v>0</v>
      </c>
      <c r="BY37" s="52">
        <f t="shared" ref="BY37" si="82">IF(OR(BW37&gt;0,BU37&gt;=$BJ$6),0,BV37)</f>
        <v>33142.13259715867</v>
      </c>
      <c r="BZ37" s="188">
        <f t="shared" si="37"/>
        <v>2.7007374084679799E-4</v>
      </c>
      <c r="CA37" s="189">
        <f t="shared" si="38"/>
        <v>0</v>
      </c>
      <c r="CB37" s="147">
        <f t="shared" ref="CB37" si="83">(CA37+BV37)</f>
        <v>33142.13259715867</v>
      </c>
      <c r="CC37" s="190">
        <f t="shared" ref="CC37" si="84">CB37/BT37</f>
        <v>0.19036152921096761</v>
      </c>
      <c r="CD37" s="148">
        <f t="shared" ref="CD37" si="85">IF(CC37&gt;$BJ$6,1,0)</f>
        <v>0</v>
      </c>
      <c r="CE37" s="97"/>
      <c r="CF37" s="154">
        <f t="shared" ref="CF37" si="86">BH37*$BJ$6</f>
        <v>52230.299999999996</v>
      </c>
      <c r="CG37" s="189">
        <f t="shared" ref="CG37" si="87">IF(CB37&gt;CF37,CB37-CF37,0)</f>
        <v>0</v>
      </c>
      <c r="CH37" s="266">
        <f t="shared" ref="CH37" si="88">CB37-CG37</f>
        <v>33142.13259715867</v>
      </c>
      <c r="CI37" s="155">
        <f t="shared" ref="CI37" si="89">CH37/BT37</f>
        <v>0.19036152921096761</v>
      </c>
      <c r="CJ37" s="276"/>
      <c r="CK37" s="277"/>
      <c r="CL37" s="278">
        <f t="shared" si="52"/>
        <v>0</v>
      </c>
      <c r="CM37" s="279" t="s">
        <v>196</v>
      </c>
      <c r="CN37" s="278">
        <f t="shared" si="53"/>
        <v>0</v>
      </c>
      <c r="CO37" s="280"/>
    </row>
    <row r="38" spans="1:93">
      <c r="A38" s="71" t="s">
        <v>106</v>
      </c>
      <c r="B38" s="240" t="s">
        <v>170</v>
      </c>
      <c r="C38" s="27"/>
      <c r="D38" s="70">
        <f>'Op Cost - Performance'!E28</f>
        <v>14038846</v>
      </c>
      <c r="E38" s="175">
        <f>'Ridership'!$E28</f>
        <v>4783530</v>
      </c>
      <c r="F38" s="175">
        <f>'Revenue Hours - Sizing'!E28</f>
        <v>121490</v>
      </c>
      <c r="G38" s="175">
        <f>'Revenue Miles - Sizing'!E28</f>
        <v>1225247</v>
      </c>
      <c r="H38" s="191">
        <f t="shared" si="45"/>
        <v>3.9554780969302365E-2</v>
      </c>
      <c r="I38" s="110">
        <f t="shared" si="0"/>
        <v>3.9554780969302365E-2</v>
      </c>
      <c r="J38" s="111"/>
      <c r="K38" s="112">
        <f>'Ridership'!B28/'Revenue Hours'!B28</f>
        <v>32.633977790205321</v>
      </c>
      <c r="L38" s="177">
        <f>'Ridership'!C28/'Revenue Hours'!C28</f>
        <v>37.897163158744682</v>
      </c>
      <c r="M38" s="177">
        <f>'Ridership'!D28/'Revenue Hours'!D28</f>
        <v>38.169319221720308</v>
      </c>
      <c r="N38" s="177">
        <f>'Ridership'!E28/'Revenue Hours'!E28</f>
        <v>39.373857930693887</v>
      </c>
      <c r="O38" s="178">
        <f t="shared" si="1"/>
        <v>0.96371389977766109</v>
      </c>
      <c r="P38" s="179">
        <f t="shared" si="2"/>
        <v>3.8119492222777593E-2</v>
      </c>
      <c r="Q38" s="113">
        <f t="shared" si="3"/>
        <v>3.7739168945077887E-2</v>
      </c>
      <c r="R38" s="114">
        <f>'Ridership'!B28/'Revenue Miles'!B28</f>
        <v>3.1121743743196539</v>
      </c>
      <c r="S38" s="177">
        <f>'Ridership'!C28/'Revenue Miles'!C28</f>
        <v>3.6271477751754029</v>
      </c>
      <c r="T38" s="177">
        <f>'Ridership'!D28/'Revenue Miles'!D28</f>
        <v>3.7084216889153194</v>
      </c>
      <c r="U38" s="177">
        <f>'Ridership'!E28/'Revenue Miles'!E28</f>
        <v>3.9041352478316615</v>
      </c>
      <c r="V38" s="178">
        <f t="shared" si="4"/>
        <v>0.97347681516357387</v>
      </c>
      <c r="W38" s="179">
        <f t="shared" si="5"/>
        <v>3.8505662202489209E-2</v>
      </c>
      <c r="X38" s="113">
        <f t="shared" si="6"/>
        <v>3.8055239136595989E-2</v>
      </c>
      <c r="Y38" s="262">
        <f>'Op Cost - Performance'!B28/'Revenue Hours'!B28</f>
        <v>99.879114404410004</v>
      </c>
      <c r="Z38" s="263">
        <f>'Op Cost - Performance'!C28/'Revenue Hours'!C28</f>
        <v>129.41512623136137</v>
      </c>
      <c r="AA38" s="263">
        <f>'Op Cost - Performance'!D28/'Revenue Hours'!D28</f>
        <v>128.95146473590054</v>
      </c>
      <c r="AB38" s="263">
        <f>'Op Cost - Performance'!E28/'Revenue Hours'!E28</f>
        <v>115.55556835953577</v>
      </c>
      <c r="AC38" s="178">
        <f t="shared" si="7"/>
        <v>0.99448984394005169</v>
      </c>
      <c r="AD38" s="179">
        <f t="shared" si="8"/>
        <v>3.9773941594607926E-2</v>
      </c>
      <c r="AE38" s="113">
        <f t="shared" si="9"/>
        <v>3.9656664786529301E-2</v>
      </c>
      <c r="AF38" s="262">
        <f>'Op Cost - Performance'!B28/'Revenue Miles'!B28</f>
        <v>9.5250791177666656</v>
      </c>
      <c r="AG38" s="263">
        <f>'Op Cost - Performance'!C28/'Revenue Miles'!C28</f>
        <v>12.386356868398249</v>
      </c>
      <c r="AH38" s="263">
        <f>'Op Cost - Performance'!D28/'Revenue Miles'!D28</f>
        <v>12.528554828714064</v>
      </c>
      <c r="AI38" s="263">
        <f>'Op Cost - Performance'!E28/'Revenue Miles'!E28</f>
        <v>11.457972147656758</v>
      </c>
      <c r="AJ38" s="178">
        <f t="shared" si="10"/>
        <v>1.0034478503766797</v>
      </c>
      <c r="AK38" s="179">
        <f t="shared" si="11"/>
        <v>3.9418870601450863E-2</v>
      </c>
      <c r="AL38" s="113">
        <f t="shared" si="12"/>
        <v>3.9377598674446124E-2</v>
      </c>
      <c r="AM38" s="262">
        <f>'Op Cost - Performance'!B28/'Ridership'!B28</f>
        <v>3.0605865777841972</v>
      </c>
      <c r="AN38" s="263">
        <f>'Op Cost - Performance'!C28/'Ridership'!C28</f>
        <v>3.4149027379506931</v>
      </c>
      <c r="AO38" s="263">
        <f>'Op Cost - Performance'!D28/'Ridership'!D28</f>
        <v>3.3784062007194646</v>
      </c>
      <c r="AP38" s="263">
        <f>'Op Cost - Performance'!E28/'Ridership'!E28</f>
        <v>2.9348297178025433</v>
      </c>
      <c r="AQ38" s="178">
        <f t="shared" si="13"/>
        <v>1.0311978207749437</v>
      </c>
      <c r="AR38" s="179">
        <f t="shared" si="14"/>
        <v>3.8358092087100226E-2</v>
      </c>
      <c r="AS38" s="115">
        <f t="shared" si="15"/>
        <v>3.8224520370373494E-2</v>
      </c>
      <c r="AT38" s="111"/>
      <c r="AU38" s="116">
        <f t="shared" si="16"/>
        <v>7.547833789015578E-3</v>
      </c>
      <c r="AV38" s="180">
        <f t="shared" si="17"/>
        <v>7.6110478273191985E-3</v>
      </c>
      <c r="AW38" s="180">
        <f t="shared" si="18"/>
        <v>7.9313329573058606E-3</v>
      </c>
      <c r="AX38" s="180">
        <f t="shared" si="19"/>
        <v>7.8755197348892251E-3</v>
      </c>
      <c r="AY38" s="117">
        <f t="shared" si="20"/>
        <v>7.6449040740746987E-3</v>
      </c>
      <c r="AZ38" s="111"/>
      <c r="BA38" s="118">
        <f t="shared" si="21"/>
        <v>1047640.7489081146</v>
      </c>
      <c r="BB38" s="181">
        <f t="shared" si="22"/>
        <v>1056414.8693088964</v>
      </c>
      <c r="BC38" s="181">
        <f t="shared" si="23"/>
        <v>1100870.5055646494</v>
      </c>
      <c r="BD38" s="181">
        <f t="shared" si="24"/>
        <v>1093123.6198003346</v>
      </c>
      <c r="BE38" s="181">
        <f t="shared" si="25"/>
        <v>1061114.122723534</v>
      </c>
      <c r="BF38" s="119">
        <f t="shared" si="26"/>
        <v>5359163.8663055291</v>
      </c>
      <c r="BH38" s="257">
        <f>'Op Cost - Performance'!E28</f>
        <v>14038846</v>
      </c>
      <c r="BI38" s="182">
        <f t="shared" si="27"/>
        <v>0.3817382045721941</v>
      </c>
      <c r="BJ38" s="183">
        <f t="shared" si="28"/>
        <v>4211653.8</v>
      </c>
      <c r="BK38" s="138">
        <f t="shared" si="29"/>
        <v>1147510.0663055293</v>
      </c>
      <c r="BM38" s="52">
        <f t="shared" si="30"/>
        <v>0</v>
      </c>
      <c r="BN38" s="184">
        <f t="shared" si="31"/>
        <v>0</v>
      </c>
      <c r="BO38" s="259">
        <f t="shared" si="32"/>
        <v>0</v>
      </c>
      <c r="BP38" s="259">
        <f t="shared" si="46"/>
        <v>4211653.8</v>
      </c>
      <c r="BQ38" s="185">
        <f t="shared" si="47"/>
        <v>0.3</v>
      </c>
      <c r="BR38" s="142">
        <f t="shared" si="33"/>
        <v>0</v>
      </c>
      <c r="BS38" s="11"/>
      <c r="BT38" s="256">
        <f t="shared" si="34"/>
        <v>14038846</v>
      </c>
      <c r="BU38" s="186">
        <f t="shared" si="48"/>
        <v>0.3</v>
      </c>
      <c r="BV38" s="187">
        <f t="shared" si="35"/>
        <v>4211653.8</v>
      </c>
      <c r="BW38" s="143">
        <f t="shared" si="36"/>
        <v>0</v>
      </c>
      <c r="BY38" s="52">
        <f t="shared" si="49"/>
        <v>0</v>
      </c>
      <c r="BZ38" s="188">
        <f t="shared" si="37"/>
        <v>0</v>
      </c>
      <c r="CA38" s="189">
        <f t="shared" si="38"/>
        <v>0</v>
      </c>
      <c r="CB38" s="147">
        <f t="shared" si="50"/>
        <v>4211653.8</v>
      </c>
      <c r="CC38" s="190">
        <f t="shared" si="51"/>
        <v>0.3</v>
      </c>
      <c r="CD38" s="148">
        <f t="shared" si="39"/>
        <v>0</v>
      </c>
      <c r="CE38" s="97"/>
      <c r="CF38" s="154">
        <f t="shared" si="40"/>
        <v>4211653.8</v>
      </c>
      <c r="CG38" s="189">
        <f t="shared" si="41"/>
        <v>0</v>
      </c>
      <c r="CH38" s="266">
        <f t="shared" si="42"/>
        <v>4211653.8</v>
      </c>
      <c r="CI38" s="155">
        <f t="shared" si="43"/>
        <v>0.3</v>
      </c>
      <c r="CJ38" s="276">
        <v>3842698.1999999997</v>
      </c>
      <c r="CK38" s="277">
        <f t="shared" si="44"/>
        <v>9.6014722155385535E-2</v>
      </c>
      <c r="CL38" s="278">
        <f t="shared" si="52"/>
        <v>1.0580389046281338</v>
      </c>
      <c r="CM38" s="279">
        <f>'Ridership'!L28</f>
        <v>0.26166874723554245</v>
      </c>
      <c r="CN38" s="278">
        <f t="shared" si="53"/>
        <v>0</v>
      </c>
      <c r="CO38" s="280"/>
    </row>
    <row r="39" spans="1:93">
      <c r="A39" s="71" t="s">
        <v>106</v>
      </c>
      <c r="B39" s="240" t="s">
        <v>108</v>
      </c>
      <c r="C39" s="27"/>
      <c r="D39" s="70">
        <f>'Op Cost - Performance'!E29</f>
        <v>2810399</v>
      </c>
      <c r="E39" s="175">
        <f>'Ridership'!$E29</f>
        <v>140253</v>
      </c>
      <c r="F39" s="175">
        <f>'Revenue Hours - Sizing'!E29</f>
        <v>35518.39</v>
      </c>
      <c r="G39" s="175">
        <f>'Revenue Miles - Sizing'!E29</f>
        <v>415651.78999999992</v>
      </c>
      <c r="H39" s="191">
        <f t="shared" si="45"/>
        <v>4.2182625520841652E-3</v>
      </c>
      <c r="I39" s="110">
        <f t="shared" si="0"/>
        <v>4.2182625520841652E-3</v>
      </c>
      <c r="J39" s="111"/>
      <c r="K39" s="112">
        <f>'Ridership'!B29/'Revenue Hours'!B29</f>
        <v>4.039822296622992</v>
      </c>
      <c r="L39" s="177">
        <f>'Ridership'!C29/'Revenue Hours'!C29</f>
        <v>3.7461598379809939</v>
      </c>
      <c r="M39" s="177">
        <f>'Ridership'!D29/'Revenue Hours'!D29</f>
        <v>2.4768128564237677</v>
      </c>
      <c r="N39" s="177">
        <f>'Ridership'!E29/'Revenue Hours'!E29</f>
        <v>3.9487431721989652</v>
      </c>
      <c r="O39" s="178">
        <f t="shared" si="1"/>
        <v>0.96682370722301858</v>
      </c>
      <c r="P39" s="179">
        <f t="shared" si="2"/>
        <v>4.0783162386460441E-3</v>
      </c>
      <c r="Q39" s="113">
        <f t="shared" si="3"/>
        <v>4.0376263314900679E-3</v>
      </c>
      <c r="R39" s="114">
        <f>'Ridership'!B29/'Revenue Miles'!B29</f>
        <v>0.3358526722031458</v>
      </c>
      <c r="S39" s="177">
        <f>'Ridership'!C29/'Revenue Miles'!C29</f>
        <v>0.30962589842834592</v>
      </c>
      <c r="T39" s="177">
        <f>'Ridership'!D29/'Revenue Miles'!D29</f>
        <v>0.20736565509904506</v>
      </c>
      <c r="U39" s="177">
        <f>'Ridership'!E29/'Revenue Miles'!E29</f>
        <v>0.33742907735342609</v>
      </c>
      <c r="V39" s="178">
        <f t="shared" si="4"/>
        <v>0.97582538919557626</v>
      </c>
      <c r="W39" s="179">
        <f t="shared" si="5"/>
        <v>4.1162876966166556E-3</v>
      </c>
      <c r="X39" s="113">
        <f t="shared" si="6"/>
        <v>4.0681370917871979E-3</v>
      </c>
      <c r="Y39" s="262">
        <f>'Op Cost - Performance'!B29/'Revenue Hours'!B29</f>
        <v>56.597366641985644</v>
      </c>
      <c r="Z39" s="263">
        <f>'Op Cost - Performance'!C29/'Revenue Hours'!C29</f>
        <v>81.316934101885025</v>
      </c>
      <c r="AA39" s="263">
        <f>'Op Cost - Performance'!D29/'Revenue Hours'!D29</f>
        <v>77.607057333747079</v>
      </c>
      <c r="AB39" s="263">
        <f>'Op Cost - Performance'!E29/'Revenue Hours'!E29</f>
        <v>79.125179941996251</v>
      </c>
      <c r="AC39" s="178">
        <f t="shared" si="7"/>
        <v>1.0624536835709457</v>
      </c>
      <c r="AD39" s="179">
        <f t="shared" si="8"/>
        <v>3.97030253394805E-3</v>
      </c>
      <c r="AE39" s="113">
        <f t="shared" si="9"/>
        <v>3.9585957633937576E-3</v>
      </c>
      <c r="AF39" s="262">
        <f>'Op Cost - Performance'!B29/'Revenue Miles'!B29</f>
        <v>4.7052507339893959</v>
      </c>
      <c r="AG39" s="263">
        <f>'Op Cost - Performance'!C29/'Revenue Miles'!C29</f>
        <v>6.7209702382331962</v>
      </c>
      <c r="AH39" s="263">
        <f>'Op Cost - Performance'!D29/'Revenue Miles'!D29</f>
        <v>6.4974785004782749</v>
      </c>
      <c r="AI39" s="263">
        <f>'Op Cost - Performance'!E29/'Revenue Miles'!E29</f>
        <v>6.7614264334095626</v>
      </c>
      <c r="AJ39" s="178">
        <f t="shared" si="10"/>
        <v>1.0672030166667137</v>
      </c>
      <c r="AK39" s="179">
        <f t="shared" si="11"/>
        <v>3.9526336472130901E-3</v>
      </c>
      <c r="AL39" s="113">
        <f t="shared" si="12"/>
        <v>3.9484952027352251E-3</v>
      </c>
      <c r="AM39" s="262">
        <f>'Op Cost - Performance'!B29/'Ridership'!B29</f>
        <v>14.009865406529656</v>
      </c>
      <c r="AN39" s="263">
        <f>'Op Cost - Performance'!C29/'Ridership'!C29</f>
        <v>21.706744404614373</v>
      </c>
      <c r="AO39" s="263">
        <f>'Op Cost - Performance'!D29/'Ridership'!D29</f>
        <v>31.333436086003985</v>
      </c>
      <c r="AP39" s="263">
        <f>'Op Cost - Performance'!E29/'Ridership'!E29</f>
        <v>20.038066921919675</v>
      </c>
      <c r="AQ39" s="264">
        <f t="shared" si="13"/>
        <v>1.2688323965658117</v>
      </c>
      <c r="AR39" s="179">
        <f t="shared" si="14"/>
        <v>3.3245230524545271E-3</v>
      </c>
      <c r="AS39" s="115">
        <f t="shared" si="15"/>
        <v>3.3129462970099234E-3</v>
      </c>
      <c r="AT39" s="111"/>
      <c r="AU39" s="116">
        <f t="shared" si="16"/>
        <v>8.0752526629801361E-4</v>
      </c>
      <c r="AV39" s="180">
        <f t="shared" si="17"/>
        <v>8.1362741835743965E-4</v>
      </c>
      <c r="AW39" s="180">
        <f t="shared" si="18"/>
        <v>7.9171915267875156E-4</v>
      </c>
      <c r="AX39" s="180">
        <f t="shared" si="19"/>
        <v>7.8969904054704504E-4</v>
      </c>
      <c r="AY39" s="117">
        <f t="shared" si="20"/>
        <v>6.625892594019847E-4</v>
      </c>
      <c r="AZ39" s="111"/>
      <c r="BA39" s="118">
        <f t="shared" si="21"/>
        <v>112084.65877691435</v>
      </c>
      <c r="BB39" s="181">
        <f t="shared" si="22"/>
        <v>112931.63862996727</v>
      </c>
      <c r="BC39" s="181">
        <f t="shared" si="23"/>
        <v>109890.76723501142</v>
      </c>
      <c r="BD39" s="181">
        <f t="shared" si="24"/>
        <v>109610.37529134947</v>
      </c>
      <c r="BE39" s="181">
        <f t="shared" si="25"/>
        <v>91967.513771776241</v>
      </c>
      <c r="BF39" s="119">
        <f t="shared" si="26"/>
        <v>536484.95370501874</v>
      </c>
      <c r="BH39" s="257">
        <f>'Op Cost - Performance'!E29</f>
        <v>2810399</v>
      </c>
      <c r="BI39" s="182">
        <f t="shared" si="27"/>
        <v>0.19089280693062399</v>
      </c>
      <c r="BJ39" s="183">
        <f t="shared" si="28"/>
        <v>536484.95370501874</v>
      </c>
      <c r="BK39" s="138">
        <f t="shared" si="29"/>
        <v>0</v>
      </c>
      <c r="BM39" s="52">
        <f t="shared" si="30"/>
        <v>536484.95370501874</v>
      </c>
      <c r="BN39" s="184">
        <f t="shared" si="31"/>
        <v>4.4308930078502794E-3</v>
      </c>
      <c r="BO39" s="259">
        <f t="shared" si="32"/>
        <v>7252.6311840612607</v>
      </c>
      <c r="BP39" s="259">
        <f t="shared" si="46"/>
        <v>543737.58488908003</v>
      </c>
      <c r="BQ39" s="185">
        <f t="shared" si="47"/>
        <v>0.19347344803676633</v>
      </c>
      <c r="BR39" s="142">
        <f t="shared" si="33"/>
        <v>0</v>
      </c>
      <c r="BS39" s="11"/>
      <c r="BT39" s="256">
        <f t="shared" si="34"/>
        <v>2810399</v>
      </c>
      <c r="BU39" s="186">
        <f t="shared" si="48"/>
        <v>0.19347344803676633</v>
      </c>
      <c r="BV39" s="187">
        <f t="shared" si="35"/>
        <v>543737.58488908003</v>
      </c>
      <c r="BW39" s="143">
        <f t="shared" si="36"/>
        <v>0</v>
      </c>
      <c r="BY39" s="52">
        <f t="shared" si="49"/>
        <v>543737.58488908003</v>
      </c>
      <c r="BZ39" s="188">
        <f t="shared" si="37"/>
        <v>4.4308930078502803E-3</v>
      </c>
      <c r="CA39" s="189">
        <f t="shared" si="38"/>
        <v>0</v>
      </c>
      <c r="CB39" s="147">
        <f t="shared" si="50"/>
        <v>543737.58488908003</v>
      </c>
      <c r="CC39" s="190">
        <f t="shared" si="51"/>
        <v>0.19347344803676633</v>
      </c>
      <c r="CD39" s="148">
        <f t="shared" si="39"/>
        <v>0</v>
      </c>
      <c r="CE39" s="97"/>
      <c r="CF39" s="154">
        <f t="shared" si="40"/>
        <v>843119.7</v>
      </c>
      <c r="CG39" s="189">
        <f t="shared" si="41"/>
        <v>0</v>
      </c>
      <c r="CH39" s="266">
        <f t="shared" si="42"/>
        <v>543737.58488908003</v>
      </c>
      <c r="CI39" s="155">
        <f t="shared" si="43"/>
        <v>0.19347344803676633</v>
      </c>
      <c r="CJ39" s="276">
        <f>VLOOKUP(B39,'[5]Allocation Calculations'!$B$12:$CM$49, 90, FALSE)</f>
        <v>471126.30704332248</v>
      </c>
      <c r="CK39" s="277">
        <f t="shared" si="44"/>
        <v>0.15412274109983115</v>
      </c>
      <c r="CL39" s="278">
        <f t="shared" si="52"/>
        <v>1.6983630479880967</v>
      </c>
      <c r="CM39" s="279">
        <f>'Ridership'!L29</f>
        <v>0.5440753911023527</v>
      </c>
      <c r="CN39" s="278">
        <f t="shared" si="53"/>
        <v>0</v>
      </c>
      <c r="CO39" s="280"/>
    </row>
    <row r="40" spans="1:93">
      <c r="A40" s="71" t="s">
        <v>106</v>
      </c>
      <c r="B40" s="240" t="s">
        <v>109</v>
      </c>
      <c r="C40" s="27"/>
      <c r="D40" s="70">
        <f>'Op Cost - Performance'!E30</f>
        <v>11966953</v>
      </c>
      <c r="E40" s="175">
        <f>'Ridership'!$E30</f>
        <v>1454390</v>
      </c>
      <c r="F40" s="175">
        <f>'Revenue Hours - Sizing'!E30</f>
        <v>156195</v>
      </c>
      <c r="G40" s="175">
        <f>'Revenue Miles - Sizing'!E30</f>
        <v>2558671</v>
      </c>
      <c r="H40" s="191">
        <f t="shared" si="45"/>
        <v>2.3596242459454492E-2</v>
      </c>
      <c r="I40" s="110">
        <f t="shared" si="0"/>
        <v>2.3596242459454492E-2</v>
      </c>
      <c r="J40" s="111"/>
      <c r="K40" s="112">
        <f>'Ridership'!B30/'Revenue Hours'!B30</f>
        <v>7.2816302952503209</v>
      </c>
      <c r="L40" s="177">
        <f>'Ridership'!C30/'Revenue Hours'!C30</f>
        <v>9.0953319765962863</v>
      </c>
      <c r="M40" s="177">
        <f>'Ridership'!D30/'Revenue Hours'!D30</f>
        <v>9.762111458267805</v>
      </c>
      <c r="N40" s="177">
        <f>'Ridership'!E30/'Revenue Hours'!E30</f>
        <v>9.3113736035084358</v>
      </c>
      <c r="O40" s="178">
        <f t="shared" si="1"/>
        <v>0.98460759394626063</v>
      </c>
      <c r="P40" s="179">
        <f t="shared" si="2"/>
        <v>2.3233039514176084E-2</v>
      </c>
      <c r="Q40" s="113">
        <f t="shared" si="3"/>
        <v>2.3001240368287192E-2</v>
      </c>
      <c r="R40" s="114">
        <f>'Ridership'!B30/'Revenue Miles'!B30</f>
        <v>0.43926607650153893</v>
      </c>
      <c r="S40" s="177">
        <f>'Ridership'!C30/'Revenue Miles'!C30</f>
        <v>0.56790094587284767</v>
      </c>
      <c r="T40" s="177">
        <f>'Ridership'!D30/'Revenue Miles'!D30</f>
        <v>0.59179641982140629</v>
      </c>
      <c r="U40" s="177">
        <f>'Ridership'!E30/'Revenue Miles'!E30</f>
        <v>0.5684161816818184</v>
      </c>
      <c r="V40" s="178">
        <f t="shared" si="4"/>
        <v>0.98639158732805232</v>
      </c>
      <c r="W40" s="179">
        <f t="shared" si="5"/>
        <v>2.3275135054558901E-2</v>
      </c>
      <c r="X40" s="113">
        <f t="shared" si="6"/>
        <v>2.300287229914327E-2</v>
      </c>
      <c r="Y40" s="262">
        <f>'Op Cost - Performance'!B30/'Revenue Hours'!B30</f>
        <v>68.191964056482675</v>
      </c>
      <c r="Z40" s="263">
        <f>'Op Cost - Performance'!C30/'Revenue Hours'!C30</f>
        <v>90.06116622855366</v>
      </c>
      <c r="AA40" s="263">
        <f>'Op Cost - Performance'!D30/'Revenue Hours'!D30</f>
        <v>100.1120523950317</v>
      </c>
      <c r="AB40" s="263">
        <f>'Op Cost - Performance'!E30/'Revenue Hours'!E30</f>
        <v>76.615467844681334</v>
      </c>
      <c r="AC40" s="178">
        <f t="shared" si="7"/>
        <v>0.99846874201234703</v>
      </c>
      <c r="AD40" s="179">
        <f t="shared" si="8"/>
        <v>2.3632429806363132E-2</v>
      </c>
      <c r="AE40" s="113">
        <f t="shared" si="9"/>
        <v>2.3562747601791081E-2</v>
      </c>
      <c r="AF40" s="262">
        <f>'Op Cost - Performance'!B30/'Revenue Miles'!B30</f>
        <v>4.1136964231161048</v>
      </c>
      <c r="AG40" s="263">
        <f>'Op Cost - Performance'!C30/'Revenue Miles'!C30</f>
        <v>5.6233045279945362</v>
      </c>
      <c r="AH40" s="263">
        <f>'Op Cost - Performance'!D30/'Revenue Miles'!D30</f>
        <v>6.0689692431421438</v>
      </c>
      <c r="AI40" s="263">
        <f>'Op Cost - Performance'!E30/'Revenue Miles'!E30</f>
        <v>4.677019046215789</v>
      </c>
      <c r="AJ40" s="178">
        <f t="shared" si="10"/>
        <v>1.0007666109313542</v>
      </c>
      <c r="AK40" s="179">
        <f t="shared" si="11"/>
        <v>2.357816717875396E-2</v>
      </c>
      <c r="AL40" s="113">
        <f t="shared" si="12"/>
        <v>2.3553480616712499E-2</v>
      </c>
      <c r="AM40" s="262">
        <f>'Op Cost - Performance'!B30/'Ridership'!B30</f>
        <v>9.3649308316247648</v>
      </c>
      <c r="AN40" s="263">
        <f>'Op Cost - Performance'!C30/'Ridership'!C30</f>
        <v>9.9019108329740089</v>
      </c>
      <c r="AO40" s="263">
        <f>'Op Cost - Performance'!D30/'Ridership'!D30</f>
        <v>10.255163836532926</v>
      </c>
      <c r="AP40" s="263">
        <f>'Op Cost - Performance'!E30/'Ridership'!E30</f>
        <v>8.2281595720542633</v>
      </c>
      <c r="AQ40" s="178">
        <f t="shared" si="13"/>
        <v>1.004125281129624</v>
      </c>
      <c r="AR40" s="179">
        <f t="shared" si="14"/>
        <v>2.3499301235508301E-2</v>
      </c>
      <c r="AS40" s="115">
        <f t="shared" si="15"/>
        <v>2.3417471252912242E-2</v>
      </c>
      <c r="AT40" s="111"/>
      <c r="AU40" s="116">
        <f t="shared" si="16"/>
        <v>4.6002480736574381E-3</v>
      </c>
      <c r="AV40" s="180">
        <f t="shared" si="17"/>
        <v>4.600574459828654E-3</v>
      </c>
      <c r="AW40" s="180">
        <f t="shared" si="18"/>
        <v>4.7125495203582165E-3</v>
      </c>
      <c r="AX40" s="180">
        <f t="shared" si="19"/>
        <v>4.7106961233424997E-3</v>
      </c>
      <c r="AY40" s="117">
        <f t="shared" si="20"/>
        <v>4.6834942505824487E-3</v>
      </c>
      <c r="AZ40" s="111"/>
      <c r="BA40" s="118">
        <f t="shared" si="21"/>
        <v>638515.29747029021</v>
      </c>
      <c r="BB40" s="181">
        <f t="shared" si="22"/>
        <v>638560.59993221564</v>
      </c>
      <c r="BC40" s="181">
        <f t="shared" si="23"/>
        <v>654102.75938503025</v>
      </c>
      <c r="BD40" s="181">
        <f t="shared" si="24"/>
        <v>653845.5075308102</v>
      </c>
      <c r="BE40" s="181">
        <f t="shared" si="25"/>
        <v>650069.88247776299</v>
      </c>
      <c r="BF40" s="119">
        <f t="shared" si="26"/>
        <v>3235094.0467961095</v>
      </c>
      <c r="BH40" s="257">
        <f>'Op Cost - Performance'!E30</f>
        <v>11966953</v>
      </c>
      <c r="BI40" s="182">
        <f t="shared" si="27"/>
        <v>0.27033565242515029</v>
      </c>
      <c r="BJ40" s="183">
        <f t="shared" si="28"/>
        <v>3235094.0467961095</v>
      </c>
      <c r="BK40" s="138">
        <f t="shared" si="29"/>
        <v>0</v>
      </c>
      <c r="BM40" s="52">
        <f t="shared" si="30"/>
        <v>3235094.0467961095</v>
      </c>
      <c r="BN40" s="184">
        <f t="shared" si="31"/>
        <v>2.6719026307620471E-2</v>
      </c>
      <c r="BO40" s="259">
        <f t="shared" si="32"/>
        <v>43734.579702798677</v>
      </c>
      <c r="BP40" s="259">
        <f t="shared" si="46"/>
        <v>3278828.6264989083</v>
      </c>
      <c r="BQ40" s="185">
        <f t="shared" si="47"/>
        <v>0.27399026523283815</v>
      </c>
      <c r="BR40" s="142">
        <f t="shared" si="33"/>
        <v>0</v>
      </c>
      <c r="BS40" s="11"/>
      <c r="BT40" s="256">
        <f t="shared" si="34"/>
        <v>11966953</v>
      </c>
      <c r="BU40" s="186">
        <f t="shared" si="48"/>
        <v>0.27399026523283815</v>
      </c>
      <c r="BV40" s="187">
        <f t="shared" si="35"/>
        <v>3278828.6264989083</v>
      </c>
      <c r="BW40" s="143">
        <f t="shared" si="36"/>
        <v>0</v>
      </c>
      <c r="BY40" s="52">
        <f t="shared" si="49"/>
        <v>3278828.6264989083</v>
      </c>
      <c r="BZ40" s="188">
        <f t="shared" si="37"/>
        <v>2.6719026307620478E-2</v>
      </c>
      <c r="CA40" s="189">
        <f t="shared" si="38"/>
        <v>0</v>
      </c>
      <c r="CB40" s="147">
        <f t="shared" si="50"/>
        <v>3278828.6264989083</v>
      </c>
      <c r="CC40" s="190">
        <f t="shared" si="51"/>
        <v>0.27399026523283815</v>
      </c>
      <c r="CD40" s="148">
        <f t="shared" si="39"/>
        <v>0</v>
      </c>
      <c r="CE40" s="97"/>
      <c r="CF40" s="154">
        <f t="shared" si="40"/>
        <v>3590085.9</v>
      </c>
      <c r="CG40" s="189">
        <f t="shared" si="41"/>
        <v>0</v>
      </c>
      <c r="CH40" s="266">
        <f t="shared" si="42"/>
        <v>3278828.6264989083</v>
      </c>
      <c r="CI40" s="155">
        <f t="shared" si="43"/>
        <v>0.27399026523283815</v>
      </c>
      <c r="CJ40" s="276">
        <f>VLOOKUP(B40,'[5]Allocation Calculations'!$B$12:$CM$49, 90, FALSE)</f>
        <v>3193342.7257590448</v>
      </c>
      <c r="CK40" s="277">
        <f t="shared" si="44"/>
        <v>2.6770036316582292E-2</v>
      </c>
      <c r="CL40" s="278">
        <f t="shared" si="52"/>
        <v>0.2949937183113891</v>
      </c>
      <c r="CM40" s="279">
        <f>'Ridership'!L30</f>
        <v>4.1352220621550639E-2</v>
      </c>
      <c r="CN40" s="278">
        <f t="shared" si="53"/>
        <v>0</v>
      </c>
      <c r="CO40" s="280"/>
    </row>
    <row r="41" spans="1:93">
      <c r="A41" s="71" t="s">
        <v>106</v>
      </c>
      <c r="B41" s="240" t="s">
        <v>110</v>
      </c>
      <c r="C41" s="27"/>
      <c r="D41" s="70">
        <f>'Op Cost - Performance'!E31</f>
        <v>872107</v>
      </c>
      <c r="E41" s="175">
        <f>'Ridership'!$E31</f>
        <v>31591</v>
      </c>
      <c r="F41" s="175">
        <f>'Revenue Hours - Sizing'!E31</f>
        <v>18376</v>
      </c>
      <c r="G41" s="175">
        <f>'Revenue Miles - Sizing'!E31</f>
        <v>230357</v>
      </c>
      <c r="H41" s="191">
        <f t="shared" si="45"/>
        <v>1.5467857472163632E-3</v>
      </c>
      <c r="I41" s="110">
        <f t="shared" si="0"/>
        <v>1.5467857472163632E-3</v>
      </c>
      <c r="J41" s="111"/>
      <c r="K41" s="112">
        <f>'Ridership'!B31/'Revenue Hours'!B31</f>
        <v>1.5442640125720273</v>
      </c>
      <c r="L41" s="177">
        <f>'Ridership'!C31/'Revenue Hours'!C31</f>
        <v>1.4436910689691704</v>
      </c>
      <c r="M41" s="177">
        <f>'Ridership'!D31/'Revenue Hours'!D31</f>
        <v>1.5208775938322576</v>
      </c>
      <c r="N41" s="177">
        <f>'Ridership'!E31/'Revenue Hours'!E31</f>
        <v>1.7191445363517632</v>
      </c>
      <c r="O41" s="178">
        <f t="shared" si="1"/>
        <v>0.945331024647864</v>
      </c>
      <c r="P41" s="179">
        <f t="shared" si="2"/>
        <v>1.4622245553267566E-3</v>
      </c>
      <c r="Q41" s="113">
        <f t="shared" si="3"/>
        <v>1.447635745162004E-3</v>
      </c>
      <c r="R41" s="114">
        <f>'Ridership'!B31/'Revenue Miles'!B31</f>
        <v>0.13392938268912755</v>
      </c>
      <c r="S41" s="177">
        <f>'Ridership'!C31/'Revenue Miles'!C31</f>
        <v>0.11958963737845332</v>
      </c>
      <c r="T41" s="177">
        <f>'Ridership'!D31/'Revenue Miles'!D31</f>
        <v>0.12305297297297298</v>
      </c>
      <c r="U41" s="177">
        <f>'Ridership'!E31/'Revenue Miles'!E31</f>
        <v>0.13713930985383557</v>
      </c>
      <c r="V41" s="178">
        <f t="shared" si="4"/>
        <v>0.91838603948639064</v>
      </c>
      <c r="W41" s="179">
        <f t="shared" si="5"/>
        <v>1.4205464363200332E-3</v>
      </c>
      <c r="X41" s="113">
        <f t="shared" si="6"/>
        <v>1.403929480670077E-3</v>
      </c>
      <c r="Y41" s="262">
        <f>'Op Cost - Performance'!B31/'Revenue Hours'!B31</f>
        <v>41.282399161864852</v>
      </c>
      <c r="Z41" s="263">
        <f>'Op Cost - Performance'!C31/'Revenue Hours'!C31</f>
        <v>39.012660239432144</v>
      </c>
      <c r="AA41" s="263">
        <f>'Op Cost - Performance'!D31/'Revenue Hours'!D31</f>
        <v>39.784022126909051</v>
      </c>
      <c r="AB41" s="263">
        <f>'Op Cost - Performance'!E31/'Revenue Hours'!E31</f>
        <v>47.459022638223772</v>
      </c>
      <c r="AC41" s="178">
        <f t="shared" si="7"/>
        <v>0.98703544069134563</v>
      </c>
      <c r="AD41" s="179">
        <f t="shared" si="8"/>
        <v>1.5671025410525822E-3</v>
      </c>
      <c r="AE41" s="113">
        <f t="shared" si="9"/>
        <v>1.5624818075628075E-3</v>
      </c>
      <c r="AF41" s="262">
        <f>'Op Cost - Performance'!B31/'Revenue Miles'!B31</f>
        <v>3.5802985698449907</v>
      </c>
      <c r="AG41" s="263">
        <f>'Op Cost - Performance'!C31/'Revenue Miles'!C31</f>
        <v>3.2316539123108785</v>
      </c>
      <c r="AH41" s="263">
        <f>'Op Cost - Performance'!D31/'Revenue Miles'!D31</f>
        <v>3.2188929729729732</v>
      </c>
      <c r="AI41" s="263">
        <f>'Op Cost - Performance'!E31/'Revenue Miles'!E31</f>
        <v>3.785893200553923</v>
      </c>
      <c r="AJ41" s="178">
        <f t="shared" si="10"/>
        <v>0.95859320552909644</v>
      </c>
      <c r="AK41" s="179">
        <f t="shared" si="11"/>
        <v>1.6135997400092287E-3</v>
      </c>
      <c r="AL41" s="113">
        <f t="shared" si="12"/>
        <v>1.6119102859566798E-3</v>
      </c>
      <c r="AM41" s="262">
        <f>'Op Cost - Performance'!B31/'Ridership'!B31</f>
        <v>26.732734056987788</v>
      </c>
      <c r="AN41" s="263">
        <f>'Op Cost - Performance'!C31/'Ridership'!C31</f>
        <v>27.022859029867174</v>
      </c>
      <c r="AO41" s="263">
        <f>'Op Cost - Performance'!D31/'Ridership'!D31</f>
        <v>26.158595726736014</v>
      </c>
      <c r="AP41" s="263">
        <f>'Op Cost - Performance'!E31/'Ridership'!E31</f>
        <v>27.606185305941565</v>
      </c>
      <c r="AQ41" s="264">
        <f t="shared" si="13"/>
        <v>1.0475313467986036</v>
      </c>
      <c r="AR41" s="179">
        <f t="shared" si="14"/>
        <v>1.4766009169496913E-3</v>
      </c>
      <c r="AS41" s="115">
        <f t="shared" si="15"/>
        <v>1.4714590522565938E-3</v>
      </c>
      <c r="AT41" s="111"/>
      <c r="AU41" s="116">
        <f t="shared" si="16"/>
        <v>2.8952714903240082E-4</v>
      </c>
      <c r="AV41" s="180">
        <f t="shared" si="17"/>
        <v>2.8078589613401544E-4</v>
      </c>
      <c r="AW41" s="180">
        <f t="shared" si="18"/>
        <v>3.1249636151256153E-4</v>
      </c>
      <c r="AX41" s="180">
        <f t="shared" si="19"/>
        <v>3.2238205719133599E-4</v>
      </c>
      <c r="AY41" s="117">
        <f t="shared" si="20"/>
        <v>2.9429181045131881E-4</v>
      </c>
      <c r="AZ41" s="111"/>
      <c r="BA41" s="118">
        <f t="shared" si="21"/>
        <v>40186.422716801251</v>
      </c>
      <c r="BB41" s="181">
        <f t="shared" si="22"/>
        <v>38973.135171149814</v>
      </c>
      <c r="BC41" s="181">
        <f t="shared" si="23"/>
        <v>43374.553727259503</v>
      </c>
      <c r="BD41" s="181">
        <f t="shared" si="24"/>
        <v>44746.69014598419</v>
      </c>
      <c r="BE41" s="181">
        <f t="shared" si="25"/>
        <v>40847.758617503416</v>
      </c>
      <c r="BF41" s="119">
        <f t="shared" si="26"/>
        <v>208128.5603786982</v>
      </c>
      <c r="BH41" s="257">
        <f>'Op Cost - Performance'!E31</f>
        <v>872107</v>
      </c>
      <c r="BI41" s="182">
        <f t="shared" si="27"/>
        <v>0.23865025779944227</v>
      </c>
      <c r="BJ41" s="183">
        <f t="shared" si="28"/>
        <v>208128.5603786982</v>
      </c>
      <c r="BK41" s="138">
        <f t="shared" si="29"/>
        <v>0</v>
      </c>
      <c r="BM41" s="52">
        <f t="shared" si="30"/>
        <v>208128.5603786982</v>
      </c>
      <c r="BN41" s="184">
        <f t="shared" si="31"/>
        <v>1.7189585216642982E-3</v>
      </c>
      <c r="BO41" s="259">
        <f t="shared" si="32"/>
        <v>2813.6477581928543</v>
      </c>
      <c r="BP41" s="259">
        <f t="shared" si="46"/>
        <v>210942.20813689104</v>
      </c>
      <c r="BQ41" s="185">
        <f t="shared" si="47"/>
        <v>0.24187652218923944</v>
      </c>
      <c r="BR41" s="142">
        <f t="shared" si="33"/>
        <v>0</v>
      </c>
      <c r="BS41" s="11"/>
      <c r="BT41" s="256">
        <f t="shared" si="34"/>
        <v>872107</v>
      </c>
      <c r="BU41" s="186">
        <f t="shared" si="48"/>
        <v>0.24187652218923944</v>
      </c>
      <c r="BV41" s="187">
        <f t="shared" si="35"/>
        <v>210942.20813689104</v>
      </c>
      <c r="BW41" s="143">
        <f t="shared" si="36"/>
        <v>0</v>
      </c>
      <c r="BY41" s="52">
        <f t="shared" si="49"/>
        <v>210942.20813689104</v>
      </c>
      <c r="BZ41" s="188">
        <f t="shared" si="37"/>
        <v>1.7189585216642986E-3</v>
      </c>
      <c r="CA41" s="189">
        <f t="shared" si="38"/>
        <v>0</v>
      </c>
      <c r="CB41" s="147">
        <f t="shared" si="50"/>
        <v>210942.20813689104</v>
      </c>
      <c r="CC41" s="190">
        <f t="shared" si="51"/>
        <v>0.24187652218923944</v>
      </c>
      <c r="CD41" s="148">
        <f t="shared" si="39"/>
        <v>0</v>
      </c>
      <c r="CE41" s="97"/>
      <c r="CF41" s="154">
        <f t="shared" si="40"/>
        <v>261632.09999999998</v>
      </c>
      <c r="CG41" s="189">
        <f t="shared" si="41"/>
        <v>0</v>
      </c>
      <c r="CH41" s="266">
        <f t="shared" si="42"/>
        <v>210942.20813689104</v>
      </c>
      <c r="CI41" s="155">
        <f t="shared" si="43"/>
        <v>0.24187652218923944</v>
      </c>
      <c r="CJ41" s="276">
        <f>VLOOKUP(B41,'[5]Allocation Calculations'!$B$12:$CM$49, 90, FALSE)</f>
        <v>182624.43473776325</v>
      </c>
      <c r="CK41" s="277">
        <f t="shared" si="44"/>
        <v>0.15506015632459186</v>
      </c>
      <c r="CL41" s="278">
        <f t="shared" si="52"/>
        <v>1.7086929406891602</v>
      </c>
      <c r="CM41" s="279">
        <f>'Ridership'!L31</f>
        <v>0.11017008715209446</v>
      </c>
      <c r="CN41" s="278">
        <f t="shared" si="53"/>
        <v>0</v>
      </c>
      <c r="CO41" s="280"/>
    </row>
    <row r="42" spans="1:93">
      <c r="A42" s="71" t="s">
        <v>111</v>
      </c>
      <c r="B42" s="240" t="s">
        <v>112</v>
      </c>
      <c r="C42" s="27"/>
      <c r="D42" s="70">
        <f>'Op Cost - Performance'!E32</f>
        <v>3322249</v>
      </c>
      <c r="E42" s="175">
        <f>'Ridership'!$E32</f>
        <v>215834</v>
      </c>
      <c r="F42" s="175">
        <f>'Revenue Hours - Sizing'!E32</f>
        <v>36644</v>
      </c>
      <c r="G42" s="175">
        <f>'Revenue Miles - Sizing'!E32</f>
        <v>709247</v>
      </c>
      <c r="H42" s="191">
        <f t="shared" si="45"/>
        <v>5.4505729127320227E-3</v>
      </c>
      <c r="I42" s="110">
        <f t="shared" si="0"/>
        <v>5.4505729127320227E-3</v>
      </c>
      <c r="J42" s="111"/>
      <c r="K42" s="112">
        <f>'Ridership'!B32/'Revenue Hours'!B32</f>
        <v>4.4056907707718551</v>
      </c>
      <c r="L42" s="177">
        <f>'Ridership'!C32/'Revenue Hours'!C32</f>
        <v>5.2133876816389186</v>
      </c>
      <c r="M42" s="177">
        <f>'Ridership'!D32/'Revenue Hours'!D32</f>
        <v>5.8202861230563991</v>
      </c>
      <c r="N42" s="177">
        <f>'Ridership'!E32/'Revenue Hours'!E32</f>
        <v>5.890022923261653</v>
      </c>
      <c r="O42" s="178">
        <f t="shared" si="1"/>
        <v>0.99772996856182361</v>
      </c>
      <c r="P42" s="179">
        <f t="shared" si="2"/>
        <v>5.4381999408640485E-3</v>
      </c>
      <c r="Q42" s="113">
        <f t="shared" si="3"/>
        <v>5.3839422919371334E-3</v>
      </c>
      <c r="R42" s="114">
        <f>'Ridership'!B32/'Revenue Miles'!B32</f>
        <v>0.22914428374898088</v>
      </c>
      <c r="S42" s="177">
        <f>'Ridership'!C32/'Revenue Miles'!C32</f>
        <v>0.26595741807949275</v>
      </c>
      <c r="T42" s="177">
        <f>'Ridership'!D32/'Revenue Miles'!D32</f>
        <v>0.30135528958448876</v>
      </c>
      <c r="U42" s="177">
        <f>'Ridership'!E32/'Revenue Miles'!E32</f>
        <v>0.30431429389197273</v>
      </c>
      <c r="V42" s="178">
        <f t="shared" si="4"/>
        <v>0.99296597873951364</v>
      </c>
      <c r="W42" s="179">
        <f t="shared" si="5"/>
        <v>5.4122334669820344E-3</v>
      </c>
      <c r="X42" s="113">
        <f t="shared" si="6"/>
        <v>5.3489234327665893E-3</v>
      </c>
      <c r="Y42" s="262">
        <f>'Op Cost - Performance'!B32/'Revenue Hours'!B32</f>
        <v>68.297046322116032</v>
      </c>
      <c r="Z42" s="263">
        <f>'Op Cost - Performance'!C32/'Revenue Hours'!C32</f>
        <v>80.659776077922771</v>
      </c>
      <c r="AA42" s="263">
        <f>'Op Cost - Performance'!D32/'Revenue Hours'!D32</f>
        <v>92.151528563447897</v>
      </c>
      <c r="AB42" s="263">
        <f>'Op Cost - Performance'!E32/'Revenue Hours'!E32</f>
        <v>90.662837026525494</v>
      </c>
      <c r="AC42" s="178">
        <f t="shared" si="7"/>
        <v>1.0336033706228751</v>
      </c>
      <c r="AD42" s="179">
        <f t="shared" si="8"/>
        <v>5.2733699092403037E-3</v>
      </c>
      <c r="AE42" s="113">
        <f t="shared" si="9"/>
        <v>5.2578209350632663E-3</v>
      </c>
      <c r="AF42" s="262">
        <f>'Op Cost - Performance'!B32/'Revenue Miles'!B32</f>
        <v>3.5521961426517614</v>
      </c>
      <c r="AG42" s="263">
        <f>'Op Cost - Performance'!C32/'Revenue Miles'!C32</f>
        <v>4.1148034826005002</v>
      </c>
      <c r="AH42" s="263">
        <f>'Op Cost - Performance'!D32/'Revenue Miles'!D32</f>
        <v>4.7713033326458048</v>
      </c>
      <c r="AI42" s="263">
        <f>'Op Cost - Performance'!E32/'Revenue Miles'!E32</f>
        <v>4.6841918259788198</v>
      </c>
      <c r="AJ42" s="178">
        <f t="shared" si="10"/>
        <v>1.0284792768779554</v>
      </c>
      <c r="AK42" s="179">
        <f t="shared" si="11"/>
        <v>5.2996429148069414E-3</v>
      </c>
      <c r="AL42" s="113">
        <f t="shared" si="12"/>
        <v>5.29409413899998E-3</v>
      </c>
      <c r="AM42" s="262">
        <f>'Op Cost - Performance'!B32/'Ridership'!B32</f>
        <v>15.502006353966314</v>
      </c>
      <c r="AN42" s="263">
        <f>'Op Cost - Performance'!C32/'Ridership'!C32</f>
        <v>15.471662765844025</v>
      </c>
      <c r="AO42" s="263">
        <f>'Op Cost - Performance'!D32/'Ridership'!D32</f>
        <v>15.832817599533488</v>
      </c>
      <c r="AP42" s="263">
        <f>'Op Cost - Performance'!E32/'Ridership'!E32</f>
        <v>15.392611914712232</v>
      </c>
      <c r="AQ42" s="264">
        <f t="shared" si="13"/>
        <v>1.0345062378450651</v>
      </c>
      <c r="AR42" s="179">
        <f t="shared" si="14"/>
        <v>5.2687675659509542E-3</v>
      </c>
      <c r="AS42" s="115">
        <f t="shared" si="15"/>
        <v>5.2504205030360377E-3</v>
      </c>
      <c r="AT42" s="111"/>
      <c r="AU42" s="116">
        <f t="shared" si="16"/>
        <v>1.0767884583874267E-3</v>
      </c>
      <c r="AV42" s="180">
        <f t="shared" si="17"/>
        <v>1.0697846865533179E-3</v>
      </c>
      <c r="AW42" s="180">
        <f t="shared" si="18"/>
        <v>1.0515641870126533E-3</v>
      </c>
      <c r="AX42" s="180">
        <f t="shared" si="19"/>
        <v>1.0588188277999961E-3</v>
      </c>
      <c r="AY42" s="117">
        <f t="shared" si="20"/>
        <v>1.0500841006072076E-3</v>
      </c>
      <c r="AZ42" s="111"/>
      <c r="BA42" s="118">
        <f t="shared" si="21"/>
        <v>149458.44046040499</v>
      </c>
      <c r="BB42" s="181">
        <f t="shared" si="22"/>
        <v>148486.31561312161</v>
      </c>
      <c r="BC42" s="181">
        <f t="shared" si="23"/>
        <v>145957.30685142343</v>
      </c>
      <c r="BD42" s="181">
        <f t="shared" si="24"/>
        <v>146964.25235657909</v>
      </c>
      <c r="BE42" s="181">
        <f t="shared" si="25"/>
        <v>145751.87058009134</v>
      </c>
      <c r="BF42" s="119">
        <f t="shared" si="26"/>
        <v>736618.18586162047</v>
      </c>
      <c r="BH42" s="257">
        <f>'Op Cost - Performance'!E32</f>
        <v>3322249</v>
      </c>
      <c r="BI42" s="182">
        <f t="shared" si="27"/>
        <v>0.2217227504204593</v>
      </c>
      <c r="BJ42" s="183">
        <f t="shared" si="28"/>
        <v>736618.18586162047</v>
      </c>
      <c r="BK42" s="138">
        <f t="shared" si="29"/>
        <v>0</v>
      </c>
      <c r="BM42" s="52">
        <f t="shared" si="30"/>
        <v>736618.18586162047</v>
      </c>
      <c r="BN42" s="184">
        <f t="shared" si="31"/>
        <v>6.0838171632754193E-3</v>
      </c>
      <c r="BO42" s="259">
        <f t="shared" si="32"/>
        <v>9958.1917230508243</v>
      </c>
      <c r="BP42" s="259">
        <f t="shared" si="46"/>
        <v>746576.37758467125</v>
      </c>
      <c r="BQ42" s="185">
        <f t="shared" si="47"/>
        <v>0.22472017527424082</v>
      </c>
      <c r="BR42" s="142">
        <f t="shared" si="33"/>
        <v>0</v>
      </c>
      <c r="BS42" s="11"/>
      <c r="BT42" s="256">
        <f t="shared" si="34"/>
        <v>3322249</v>
      </c>
      <c r="BU42" s="186">
        <f t="shared" si="48"/>
        <v>0.22472017527424082</v>
      </c>
      <c r="BV42" s="187">
        <f t="shared" si="35"/>
        <v>746576.37758467125</v>
      </c>
      <c r="BW42" s="143">
        <f t="shared" si="36"/>
        <v>0</v>
      </c>
      <c r="BY42" s="52">
        <f t="shared" si="49"/>
        <v>746576.37758467125</v>
      </c>
      <c r="BZ42" s="188">
        <f t="shared" si="37"/>
        <v>6.0838171632754201E-3</v>
      </c>
      <c r="CA42" s="189">
        <f t="shared" si="38"/>
        <v>0</v>
      </c>
      <c r="CB42" s="147">
        <f t="shared" si="50"/>
        <v>746576.37758467125</v>
      </c>
      <c r="CC42" s="190">
        <f t="shared" si="51"/>
        <v>0.22472017527424082</v>
      </c>
      <c r="CD42" s="148">
        <f t="shared" si="39"/>
        <v>0</v>
      </c>
      <c r="CE42" s="97"/>
      <c r="CF42" s="154">
        <f t="shared" si="40"/>
        <v>996674.7</v>
      </c>
      <c r="CG42" s="189">
        <f t="shared" si="41"/>
        <v>0</v>
      </c>
      <c r="CH42" s="266">
        <f t="shared" si="42"/>
        <v>746576.37758467125</v>
      </c>
      <c r="CI42" s="155">
        <f t="shared" si="43"/>
        <v>0.22472017527424082</v>
      </c>
      <c r="CJ42" s="276">
        <f>VLOOKUP(B42,'[5]Allocation Calculations'!$B$12:$CM$49, 90, FALSE)</f>
        <v>618200.54053036741</v>
      </c>
      <c r="CK42" s="277">
        <f t="shared" si="44"/>
        <v>0.20766050599724079</v>
      </c>
      <c r="CL42" s="278">
        <f t="shared" si="52"/>
        <v>2.2883250544043863</v>
      </c>
      <c r="CM42" s="279">
        <f>'Ridership'!L32</f>
        <v>1.5011145493364434E-2</v>
      </c>
      <c r="CN42" s="278">
        <f t="shared" si="53"/>
        <v>0</v>
      </c>
      <c r="CO42" s="280"/>
    </row>
    <row r="43" spans="1:93">
      <c r="A43" s="71" t="s">
        <v>111</v>
      </c>
      <c r="B43" s="240" t="s">
        <v>113</v>
      </c>
      <c r="C43" s="27"/>
      <c r="D43" s="70">
        <f>'Op Cost - Performance'!E33</f>
        <v>7574503</v>
      </c>
      <c r="E43" s="175">
        <f>'Ridership'!$E33</f>
        <v>1957345</v>
      </c>
      <c r="F43" s="175">
        <f>'Revenue Hours - Sizing'!E33</f>
        <v>78270</v>
      </c>
      <c r="G43" s="175">
        <f>'Revenue Miles - Sizing'!E33</f>
        <v>793294</v>
      </c>
      <c r="H43" s="191">
        <f t="shared" si="45"/>
        <v>1.8607556807361321E-2</v>
      </c>
      <c r="I43" s="110">
        <f t="shared" si="0"/>
        <v>1.8607556807361321E-2</v>
      </c>
      <c r="J43" s="111"/>
      <c r="K43" s="112">
        <f>'Ridership'!B33/'Revenue Hours'!B33</f>
        <v>18.24961092626382</v>
      </c>
      <c r="L43" s="177">
        <f>'Ridership'!C33/'Revenue Hours'!C33</f>
        <v>21.145138445302301</v>
      </c>
      <c r="M43" s="177">
        <f>'Ridership'!D33/'Revenue Hours'!D33</f>
        <v>24.501083352912001</v>
      </c>
      <c r="N43" s="177">
        <f>'Ridership'!E33/'Revenue Hours'!E33</f>
        <v>25.007601890890506</v>
      </c>
      <c r="O43" s="178">
        <f t="shared" si="1"/>
        <v>1.0066550439989388</v>
      </c>
      <c r="P43" s="179">
        <f t="shared" si="2"/>
        <v>1.8731390916627063E-2</v>
      </c>
      <c r="Q43" s="113">
        <f t="shared" si="3"/>
        <v>1.8544505321518603E-2</v>
      </c>
      <c r="R43" s="114">
        <f>'Ridership'!B33/'Revenue Miles'!B33</f>
        <v>1.8049204125068334</v>
      </c>
      <c r="S43" s="177">
        <f>'Ridership'!C33/'Revenue Miles'!C33</f>
        <v>2.1042721223804488</v>
      </c>
      <c r="T43" s="177">
        <f>'Ridership'!D33/'Revenue Miles'!D33</f>
        <v>2.4420853514636569</v>
      </c>
      <c r="U43" s="177">
        <f>'Ridership'!E33/'Revenue Miles'!E33</f>
        <v>2.4673639281275288</v>
      </c>
      <c r="V43" s="178">
        <f t="shared" si="4"/>
        <v>1.0030931223112431</v>
      </c>
      <c r="W43" s="179">
        <f t="shared" si="5"/>
        <v>1.8665112256479894E-2</v>
      </c>
      <c r="X43" s="113">
        <f t="shared" si="6"/>
        <v>1.8446775611765307E-2</v>
      </c>
      <c r="Y43" s="262">
        <f>'Op Cost - Performance'!B33/'Revenue Hours'!B33</f>
        <v>79.970349898035849</v>
      </c>
      <c r="Z43" s="263">
        <f>'Op Cost - Performance'!C33/'Revenue Hours'!C33</f>
        <v>91.352487016413477</v>
      </c>
      <c r="AA43" s="263">
        <f>'Op Cost - Performance'!D33/'Revenue Hours'!D33</f>
        <v>97.052784086459397</v>
      </c>
      <c r="AB43" s="263">
        <f>'Op Cost - Performance'!E33/'Revenue Hours'!E33</f>
        <v>96.774025808100163</v>
      </c>
      <c r="AC43" s="178">
        <f t="shared" si="7"/>
        <v>1.0001901776891293</v>
      </c>
      <c r="AD43" s="179">
        <f t="shared" si="8"/>
        <v>1.8604018738069196E-2</v>
      </c>
      <c r="AE43" s="113">
        <f t="shared" si="9"/>
        <v>1.8549163225953409E-2</v>
      </c>
      <c r="AF43" s="262">
        <f>'Op Cost - Performance'!B33/'Revenue Miles'!B33</f>
        <v>7.9092161202490328</v>
      </c>
      <c r="AG43" s="263">
        <f>'Op Cost - Performance'!C33/'Revenue Miles'!C33</f>
        <v>9.0910018033704372</v>
      </c>
      <c r="AH43" s="263">
        <f>'Op Cost - Performance'!D33/'Revenue Miles'!D33</f>
        <v>9.6734980622045992</v>
      </c>
      <c r="AI43" s="263">
        <f>'Op Cost - Performance'!E33/'Revenue Miles'!E33</f>
        <v>9.5481662536209786</v>
      </c>
      <c r="AJ43" s="178">
        <f t="shared" si="10"/>
        <v>0.99682537064047783</v>
      </c>
      <c r="AK43" s="179">
        <f t="shared" si="11"/>
        <v>1.8666817032762358E-2</v>
      </c>
      <c r="AL43" s="113">
        <f t="shared" si="12"/>
        <v>1.8647272700359322E-2</v>
      </c>
      <c r="AM43" s="262">
        <f>'Op Cost - Performance'!B33/'Ridership'!B33</f>
        <v>4.3820304016973317</v>
      </c>
      <c r="AN43" s="263">
        <f>'Op Cost - Performance'!C33/'Ridership'!C33</f>
        <v>4.3202595836731801</v>
      </c>
      <c r="AO43" s="263">
        <f>'Op Cost - Performance'!D33/'Ridership'!D33</f>
        <v>3.9611629693478223</v>
      </c>
      <c r="AP43" s="263">
        <f>'Op Cost - Performance'!E33/'Ridership'!E33</f>
        <v>3.8697843251956092</v>
      </c>
      <c r="AQ43" s="264">
        <f t="shared" si="13"/>
        <v>0.99500467227769895</v>
      </c>
      <c r="AR43" s="179">
        <f t="shared" si="14"/>
        <v>1.8700974302729788E-2</v>
      </c>
      <c r="AS43" s="115">
        <f t="shared" si="15"/>
        <v>1.8635853200345286E-2</v>
      </c>
      <c r="AT43" s="111"/>
      <c r="AU43" s="116">
        <f t="shared" si="16"/>
        <v>3.7089010643037209E-3</v>
      </c>
      <c r="AV43" s="180">
        <f t="shared" si="17"/>
        <v>3.6893551223530618E-3</v>
      </c>
      <c r="AW43" s="180">
        <f t="shared" si="18"/>
        <v>3.7098326451906818E-3</v>
      </c>
      <c r="AX43" s="180">
        <f t="shared" si="19"/>
        <v>3.7294545400718645E-3</v>
      </c>
      <c r="AY43" s="117">
        <f t="shared" si="20"/>
        <v>3.7271706400690574E-3</v>
      </c>
      <c r="AZ43" s="111"/>
      <c r="BA43" s="118">
        <f t="shared" si="21"/>
        <v>514796.16499875655</v>
      </c>
      <c r="BB43" s="181">
        <f t="shared" si="22"/>
        <v>512083.184581368</v>
      </c>
      <c r="BC43" s="181">
        <f t="shared" si="23"/>
        <v>514925.46860100393</v>
      </c>
      <c r="BD43" s="181">
        <f t="shared" si="24"/>
        <v>517648.99129942834</v>
      </c>
      <c r="BE43" s="181">
        <f t="shared" si="25"/>
        <v>517331.98554966552</v>
      </c>
      <c r="BF43" s="119">
        <f t="shared" si="26"/>
        <v>2576785.7950302223</v>
      </c>
      <c r="BH43" s="257">
        <f>'Op Cost - Performance'!E33</f>
        <v>7574503</v>
      </c>
      <c r="BI43" s="182">
        <f t="shared" si="27"/>
        <v>0.34019206211024305</v>
      </c>
      <c r="BJ43" s="183">
        <f t="shared" si="28"/>
        <v>2272350.9</v>
      </c>
      <c r="BK43" s="138">
        <f t="shared" si="29"/>
        <v>304434.89503022237</v>
      </c>
      <c r="BM43" s="52">
        <f t="shared" si="30"/>
        <v>0</v>
      </c>
      <c r="BN43" s="184">
        <f t="shared" si="31"/>
        <v>0</v>
      </c>
      <c r="BO43" s="259">
        <f t="shared" si="32"/>
        <v>0</v>
      </c>
      <c r="BP43" s="259">
        <f t="shared" si="46"/>
        <v>2272350.9</v>
      </c>
      <c r="BQ43" s="185">
        <f t="shared" si="47"/>
        <v>0.3</v>
      </c>
      <c r="BR43" s="142">
        <f t="shared" si="33"/>
        <v>0</v>
      </c>
      <c r="BS43" s="11"/>
      <c r="BT43" s="256">
        <f t="shared" si="34"/>
        <v>7574503</v>
      </c>
      <c r="BU43" s="186">
        <f t="shared" si="48"/>
        <v>0.3</v>
      </c>
      <c r="BV43" s="187">
        <f t="shared" si="35"/>
        <v>2272350.9</v>
      </c>
      <c r="BW43" s="143">
        <f t="shared" si="36"/>
        <v>0</v>
      </c>
      <c r="BY43" s="52">
        <f t="shared" si="49"/>
        <v>0</v>
      </c>
      <c r="BZ43" s="188">
        <f t="shared" si="37"/>
        <v>0</v>
      </c>
      <c r="CA43" s="189">
        <f t="shared" si="38"/>
        <v>0</v>
      </c>
      <c r="CB43" s="147">
        <f t="shared" si="50"/>
        <v>2272350.9</v>
      </c>
      <c r="CC43" s="190">
        <f t="shared" si="51"/>
        <v>0.3</v>
      </c>
      <c r="CD43" s="148">
        <f t="shared" si="39"/>
        <v>0</v>
      </c>
      <c r="CE43" s="97"/>
      <c r="CF43" s="154">
        <f t="shared" si="40"/>
        <v>2272350.9</v>
      </c>
      <c r="CG43" s="189">
        <f t="shared" si="41"/>
        <v>0</v>
      </c>
      <c r="CH43" s="266">
        <f t="shared" si="42"/>
        <v>2272350.9</v>
      </c>
      <c r="CI43" s="155">
        <f t="shared" si="43"/>
        <v>0.3</v>
      </c>
      <c r="CJ43" s="276">
        <f>VLOOKUP(B43,'[5]Allocation Calculations'!$B$12:$CM$49, 90, FALSE)</f>
        <v>2230680.6</v>
      </c>
      <c r="CK43" s="277">
        <f t="shared" si="44"/>
        <v>1.8680531852027497E-2</v>
      </c>
      <c r="CL43" s="278">
        <f t="shared" si="52"/>
        <v>0.20585103008061478</v>
      </c>
      <c r="CM43" s="279">
        <f>'Ridership'!L33</f>
        <v>4.2735010862350209E-2</v>
      </c>
      <c r="CN43" s="278">
        <f t="shared" si="53"/>
        <v>0</v>
      </c>
      <c r="CO43" s="280"/>
    </row>
    <row r="44" spans="1:93">
      <c r="A44" s="71" t="s">
        <v>111</v>
      </c>
      <c r="B44" s="240" t="s">
        <v>114</v>
      </c>
      <c r="C44" s="27"/>
      <c r="D44" s="70">
        <f>'Op Cost - Performance'!E34</f>
        <v>2625519</v>
      </c>
      <c r="E44" s="175">
        <f>'Ridership'!$E34</f>
        <v>106471</v>
      </c>
      <c r="F44" s="175">
        <f>'Revenue Hours - Sizing'!E34</f>
        <v>27972</v>
      </c>
      <c r="G44" s="175">
        <f>'Revenue Miles - Sizing'!E34</f>
        <v>388329</v>
      </c>
      <c r="H44" s="176">
        <f t="shared" si="45"/>
        <v>3.7083657700875826E-3</v>
      </c>
      <c r="I44" s="110">
        <f t="shared" si="0"/>
        <v>3.7083657700875826E-3</v>
      </c>
      <c r="J44" s="111"/>
      <c r="K44" s="112">
        <f>'Ridership'!B34/'Revenue Hours'!B34</f>
        <v>7.7540727902946278</v>
      </c>
      <c r="L44" s="177">
        <f>'Ridership'!C34/'Revenue Hours'!C34</f>
        <v>8.9334289529650324</v>
      </c>
      <c r="M44" s="177">
        <f>'Ridership'!D34/'Revenue Hours'!D34</f>
        <v>7.1753205635586514</v>
      </c>
      <c r="N44" s="177">
        <f>'Ridership'!E34/'Revenue Hours'!E34</f>
        <v>3.8063420563420562</v>
      </c>
      <c r="O44" s="178">
        <f t="shared" si="1"/>
        <v>0.74052799413749115</v>
      </c>
      <c r="P44" s="179">
        <f t="shared" si="2"/>
        <v>2.7461486652510902E-3</v>
      </c>
      <c r="Q44" s="113">
        <f t="shared" si="3"/>
        <v>2.7187499723378911E-3</v>
      </c>
      <c r="R44" s="114">
        <f>'Ridership'!B34/'Revenue Miles'!B34</f>
        <v>0.72460145651246777</v>
      </c>
      <c r="S44" s="177">
        <f>'Ridership'!C34/'Revenue Miles'!C34</f>
        <v>0.79643813026090104</v>
      </c>
      <c r="T44" s="177">
        <f>'Ridership'!D34/'Revenue Miles'!D34</f>
        <v>0.54734547737934947</v>
      </c>
      <c r="U44" s="177">
        <f>'Ridership'!E34/'Revenue Miles'!E34</f>
        <v>0.2741773084163171</v>
      </c>
      <c r="V44" s="178">
        <f t="shared" si="4"/>
        <v>0.67815728682211629</v>
      </c>
      <c r="W44" s="179">
        <f t="shared" si="5"/>
        <v>2.514855269186603E-3</v>
      </c>
      <c r="X44" s="113">
        <f t="shared" si="6"/>
        <v>2.4854375483675715E-3</v>
      </c>
      <c r="Y44" s="262">
        <f>'Op Cost - Performance'!B34/'Revenue Hours'!B34</f>
        <v>82.248006932409012</v>
      </c>
      <c r="Z44" s="263">
        <f>'Op Cost - Performance'!C34/'Revenue Hours'!C34</f>
        <v>95.121865571986746</v>
      </c>
      <c r="AA44" s="263">
        <f>'Op Cost - Performance'!D34/'Revenue Hours'!D34</f>
        <v>94.216123159727715</v>
      </c>
      <c r="AB44" s="263">
        <f>'Op Cost - Performance'!E34/'Revenue Hours'!E34</f>
        <v>93.862398112398111</v>
      </c>
      <c r="AC44" s="178">
        <f t="shared" si="7"/>
        <v>0.98115526903303074</v>
      </c>
      <c r="AD44" s="179">
        <f t="shared" si="8"/>
        <v>3.7795911484451703E-3</v>
      </c>
      <c r="AE44" s="113">
        <f t="shared" si="9"/>
        <v>3.7684467064321124E-3</v>
      </c>
      <c r="AF44" s="262">
        <f>'Op Cost - Performance'!B34/'Revenue Miles'!B34</f>
        <v>7.6858996852680619</v>
      </c>
      <c r="AG44" s="263">
        <f>'Op Cost - Performance'!C34/'Revenue Miles'!C34</f>
        <v>8.480358568020776</v>
      </c>
      <c r="AH44" s="263">
        <f>'Op Cost - Performance'!D34/'Revenue Miles'!D34</f>
        <v>7.1869637671096402</v>
      </c>
      <c r="AI44" s="263">
        <f>'Op Cost - Performance'!E34/'Revenue Miles'!E34</f>
        <v>6.7610685784476567</v>
      </c>
      <c r="AJ44" s="178">
        <f t="shared" si="10"/>
        <v>0.89908921173622758</v>
      </c>
      <c r="AK44" s="179">
        <f t="shared" si="11"/>
        <v>4.1245804328208686E-3</v>
      </c>
      <c r="AL44" s="113">
        <f t="shared" si="12"/>
        <v>4.120261958446763E-3</v>
      </c>
      <c r="AM44" s="262">
        <f>'Op Cost - Performance'!B34/'Ridership'!B34</f>
        <v>10.607071813325586</v>
      </c>
      <c r="AN44" s="263">
        <f>'Op Cost - Performance'!C34/'Ridership'!C34</f>
        <v>10.647856055363322</v>
      </c>
      <c r="AO44" s="263">
        <f>'Op Cost - Performance'!D34/'Ridership'!D34</f>
        <v>13.13058034483139</v>
      </c>
      <c r="AP44" s="263">
        <f>'Op Cost - Performance'!E34/'Ridership'!E34</f>
        <v>24.659475350095331</v>
      </c>
      <c r="AQ44" s="264">
        <f t="shared" si="13"/>
        <v>1.4079462543832049</v>
      </c>
      <c r="AR44" s="179">
        <f t="shared" si="14"/>
        <v>2.6338830467020555E-3</v>
      </c>
      <c r="AS44" s="115">
        <f t="shared" si="15"/>
        <v>2.6247112589237015E-3</v>
      </c>
      <c r="AT44" s="111"/>
      <c r="AU44" s="116">
        <f t="shared" si="16"/>
        <v>5.4374999446757822E-4</v>
      </c>
      <c r="AV44" s="180">
        <f t="shared" si="17"/>
        <v>4.9708750967351434E-4</v>
      </c>
      <c r="AW44" s="180">
        <f t="shared" si="18"/>
        <v>7.536893412864225E-4</v>
      </c>
      <c r="AX44" s="180">
        <f t="shared" si="19"/>
        <v>8.2405239168935264E-4</v>
      </c>
      <c r="AY44" s="117">
        <f t="shared" si="20"/>
        <v>5.2494225178474033E-4</v>
      </c>
      <c r="AZ44" s="111"/>
      <c r="BA44" s="118">
        <f t="shared" si="21"/>
        <v>75472.601457098819</v>
      </c>
      <c r="BB44" s="181">
        <f t="shared" si="22"/>
        <v>68995.839795135602</v>
      </c>
      <c r="BC44" s="181">
        <f t="shared" si="23"/>
        <v>104612.2222641516</v>
      </c>
      <c r="BD44" s="181">
        <f t="shared" si="24"/>
        <v>114378.62688833178</v>
      </c>
      <c r="BE44" s="181">
        <f t="shared" si="25"/>
        <v>72862.083236865292</v>
      </c>
      <c r="BF44" s="119">
        <f t="shared" si="26"/>
        <v>436321.37364158308</v>
      </c>
      <c r="BH44" s="257">
        <f>'Op Cost - Performance'!E34</f>
        <v>2625519</v>
      </c>
      <c r="BI44" s="182">
        <f t="shared" si="27"/>
        <v>0.16618480903835892</v>
      </c>
      <c r="BJ44" s="183">
        <f t="shared" si="28"/>
        <v>436321.37364158308</v>
      </c>
      <c r="BK44" s="138">
        <f t="shared" si="29"/>
        <v>0</v>
      </c>
      <c r="BM44" s="52">
        <f t="shared" si="30"/>
        <v>436321.37364158308</v>
      </c>
      <c r="BN44" s="184">
        <f t="shared" si="31"/>
        <v>3.6036300930577876E-3</v>
      </c>
      <c r="BO44" s="259">
        <f t="shared" si="32"/>
        <v>5898.5400781348826</v>
      </c>
      <c r="BP44" s="259">
        <f t="shared" si="46"/>
        <v>442219.91371971794</v>
      </c>
      <c r="BQ44" s="185">
        <f t="shared" si="47"/>
        <v>0.16843142773665623</v>
      </c>
      <c r="BR44" s="142">
        <f t="shared" si="33"/>
        <v>0</v>
      </c>
      <c r="BS44" s="11"/>
      <c r="BT44" s="256">
        <f t="shared" si="34"/>
        <v>2625519</v>
      </c>
      <c r="BU44" s="186">
        <f t="shared" si="48"/>
        <v>0.16843142773665623</v>
      </c>
      <c r="BV44" s="187">
        <f t="shared" si="35"/>
        <v>442219.91371971794</v>
      </c>
      <c r="BW44" s="143">
        <f t="shared" si="36"/>
        <v>0</v>
      </c>
      <c r="BY44" s="52">
        <f t="shared" si="49"/>
        <v>442219.91371971794</v>
      </c>
      <c r="BZ44" s="188">
        <f t="shared" si="37"/>
        <v>3.6036300930577885E-3</v>
      </c>
      <c r="CA44" s="189">
        <f t="shared" si="38"/>
        <v>0</v>
      </c>
      <c r="CB44" s="147">
        <f t="shared" si="50"/>
        <v>442219.91371971794</v>
      </c>
      <c r="CC44" s="190">
        <f t="shared" si="51"/>
        <v>0.16843142773665623</v>
      </c>
      <c r="CD44" s="148">
        <f t="shared" si="39"/>
        <v>0</v>
      </c>
      <c r="CE44" s="97"/>
      <c r="CF44" s="154">
        <f t="shared" si="40"/>
        <v>787655.7</v>
      </c>
      <c r="CG44" s="189">
        <f t="shared" si="41"/>
        <v>0</v>
      </c>
      <c r="CH44" s="266">
        <f t="shared" si="42"/>
        <v>442219.91371971794</v>
      </c>
      <c r="CI44" s="155">
        <f t="shared" si="43"/>
        <v>0.16843142773665623</v>
      </c>
      <c r="CJ44" s="276">
        <f>VLOOKUP(B44,'[5]Allocation Calculations'!$B$12:$CM$49, 90, FALSE)</f>
        <v>513663.07295802294</v>
      </c>
      <c r="CK44" s="277">
        <f t="shared" si="44"/>
        <v>-0.1390856438771946</v>
      </c>
      <c r="CL44" s="278">
        <f t="shared" si="52"/>
        <v>-1.5326610231623889</v>
      </c>
      <c r="CM44" s="279">
        <f>'Ridership'!L34</f>
        <v>-0.41275523148709914</v>
      </c>
      <c r="CN44" s="278">
        <f t="shared" si="53"/>
        <v>0.33696882139104223</v>
      </c>
      <c r="CO44" s="280"/>
    </row>
    <row r="45" spans="1:93">
      <c r="A45" s="71" t="s">
        <v>115</v>
      </c>
      <c r="B45" s="240" t="s">
        <v>116</v>
      </c>
      <c r="C45" s="27"/>
      <c r="D45" s="70">
        <f>'Op Cost - Performance'!E35</f>
        <v>5545950</v>
      </c>
      <c r="E45" s="175">
        <f>'Ridership'!$E35</f>
        <v>128678</v>
      </c>
      <c r="F45" s="175">
        <f>'Revenue Hours - Sizing'!E35</f>
        <v>59749</v>
      </c>
      <c r="G45" s="175">
        <f>'Revenue Miles - Sizing'!E35</f>
        <v>1316507</v>
      </c>
      <c r="H45" s="191">
        <f t="shared" si="45"/>
        <v>8.0789277580430759E-3</v>
      </c>
      <c r="I45" s="110">
        <f t="shared" si="0"/>
        <v>8.0789277580430759E-3</v>
      </c>
      <c r="J45" s="111"/>
      <c r="K45" s="112">
        <f>'Ridership'!B35/'Revenue Hours'!B35</f>
        <v>2.0984220777077214</v>
      </c>
      <c r="L45" s="177">
        <f>'Ridership'!C35/'Revenue Hours'!C35</f>
        <v>2.1059981833517161</v>
      </c>
      <c r="M45" s="177">
        <f>'Ridership'!D35/'Revenue Hours'!D35</f>
        <v>2.1272968662976006</v>
      </c>
      <c r="N45" s="177">
        <f>'Ridership'!E35/'Revenue Hours'!E35</f>
        <v>2.1536427387906074</v>
      </c>
      <c r="O45" s="178">
        <f t="shared" si="1"/>
        <v>0.91420373424702284</v>
      </c>
      <c r="P45" s="179">
        <f t="shared" si="2"/>
        <v>7.385785925114908E-3</v>
      </c>
      <c r="Q45" s="113">
        <f t="shared" si="3"/>
        <v>7.312096950062151E-3</v>
      </c>
      <c r="R45" s="114">
        <f>'Ridership'!B35/'Revenue Miles'!B35</f>
        <v>9.06701755136681E-2</v>
      </c>
      <c r="S45" s="177">
        <f>'Ridership'!C35/'Revenue Miles'!C35</f>
        <v>9.3205239748349655E-2</v>
      </c>
      <c r="T45" s="177">
        <f>'Ridership'!D35/'Revenue Miles'!D35</f>
        <v>9.4272498845623817E-2</v>
      </c>
      <c r="U45" s="177">
        <f>'Ridership'!E35/'Revenue Miles'!E35</f>
        <v>9.7741979343824226E-2</v>
      </c>
      <c r="V45" s="178">
        <f t="shared" si="4"/>
        <v>0.92650649096019178</v>
      </c>
      <c r="W45" s="179">
        <f t="shared" si="5"/>
        <v>7.4851790078253799E-3</v>
      </c>
      <c r="X45" s="113">
        <f t="shared" si="6"/>
        <v>7.3976205272119405E-3</v>
      </c>
      <c r="Y45" s="262">
        <f>'Op Cost - Performance'!B35/'Revenue Hours'!B35</f>
        <v>76.546396857359781</v>
      </c>
      <c r="Z45" s="263">
        <f>'Op Cost - Performance'!C35/'Revenue Hours'!C35</f>
        <v>81.113410757153048</v>
      </c>
      <c r="AA45" s="263">
        <f>'Op Cost - Performance'!D35/'Revenue Hours'!D35</f>
        <v>94.049687647411616</v>
      </c>
      <c r="AB45" s="263">
        <f>'Op Cost - Performance'!E35/'Revenue Hours'!E35</f>
        <v>92.820800348122987</v>
      </c>
      <c r="AC45" s="178">
        <f t="shared" si="7"/>
        <v>1.0029388819461427</v>
      </c>
      <c r="AD45" s="179">
        <f t="shared" si="8"/>
        <v>8.0552543165605481E-3</v>
      </c>
      <c r="AE45" s="113">
        <f t="shared" si="9"/>
        <v>8.0315027225109446E-3</v>
      </c>
      <c r="AF45" s="262">
        <f>'Op Cost - Performance'!B35/'Revenue Miles'!B35</f>
        <v>3.3074734162048824</v>
      </c>
      <c r="AG45" s="263">
        <f>'Op Cost - Performance'!C35/'Revenue Miles'!C35</f>
        <v>3.5898392297730726</v>
      </c>
      <c r="AH45" s="263">
        <f>'Op Cost - Performance'!D35/'Revenue Miles'!D35</f>
        <v>4.1678710717996852</v>
      </c>
      <c r="AI45" s="263">
        <f>'Op Cost - Performance'!E35/'Revenue Miles'!E35</f>
        <v>4.2126247714596277</v>
      </c>
      <c r="AJ45" s="178">
        <f t="shared" si="10"/>
        <v>1.0157232167720323</v>
      </c>
      <c r="AK45" s="179">
        <f t="shared" si="11"/>
        <v>7.9538673770969837E-3</v>
      </c>
      <c r="AL45" s="113">
        <f t="shared" si="12"/>
        <v>7.945539603399155E-3</v>
      </c>
      <c r="AM45" s="262">
        <f>'Op Cost - Performance'!B35/'Ridership'!B35</f>
        <v>36.47807448774924</v>
      </c>
      <c r="AN45" s="263">
        <f>'Op Cost - Performance'!C35/'Ridership'!C35</f>
        <v>38.515422946880371</v>
      </c>
      <c r="AO45" s="263">
        <f>'Op Cost - Performance'!D35/'Ridership'!D35</f>
        <v>44.210889950257851</v>
      </c>
      <c r="AP45" s="263">
        <f>'Op Cost - Performance'!E35/'Ridership'!E35</f>
        <v>43.099442018060586</v>
      </c>
      <c r="AQ45" s="264">
        <f t="shared" si="13"/>
        <v>1.0991947092310588</v>
      </c>
      <c r="AR45" s="179">
        <f t="shared" si="14"/>
        <v>7.3498604844037928E-3</v>
      </c>
      <c r="AS45" s="115">
        <f t="shared" si="15"/>
        <v>7.3242665763341586E-3</v>
      </c>
      <c r="AT45" s="111"/>
      <c r="AU45" s="116">
        <f t="shared" si="16"/>
        <v>1.4624193900124303E-3</v>
      </c>
      <c r="AV45" s="180">
        <f t="shared" si="17"/>
        <v>1.4795241054423882E-3</v>
      </c>
      <c r="AW45" s="180">
        <f t="shared" si="18"/>
        <v>1.606300544502189E-3</v>
      </c>
      <c r="AX45" s="180">
        <f t="shared" si="19"/>
        <v>1.5891079206798312E-3</v>
      </c>
      <c r="AY45" s="117">
        <f t="shared" si="20"/>
        <v>1.4648533152668319E-3</v>
      </c>
      <c r="AZ45" s="111"/>
      <c r="BA45" s="118">
        <f t="shared" si="21"/>
        <v>202984.08626857065</v>
      </c>
      <c r="BB45" s="181">
        <f t="shared" si="22"/>
        <v>205358.2239859353</v>
      </c>
      <c r="BC45" s="181">
        <f t="shared" si="23"/>
        <v>222954.81756140621</v>
      </c>
      <c r="BD45" s="181">
        <f t="shared" si="24"/>
        <v>220568.47814264966</v>
      </c>
      <c r="BE45" s="181">
        <f t="shared" si="25"/>
        <v>203321.91555145953</v>
      </c>
      <c r="BF45" s="119">
        <f t="shared" si="26"/>
        <v>1055187.5215100213</v>
      </c>
      <c r="BH45" s="257">
        <f>'Op Cost - Performance'!E35</f>
        <v>5545950</v>
      </c>
      <c r="BI45" s="182">
        <f t="shared" si="27"/>
        <v>0.19026271811141848</v>
      </c>
      <c r="BJ45" s="183">
        <f t="shared" si="28"/>
        <v>1055187.5215100213</v>
      </c>
      <c r="BK45" s="138">
        <f t="shared" si="29"/>
        <v>0</v>
      </c>
      <c r="BM45" s="52">
        <f t="shared" si="30"/>
        <v>1055187.5215100213</v>
      </c>
      <c r="BN45" s="184">
        <f t="shared" si="31"/>
        <v>8.714919176652916E-3</v>
      </c>
      <c r="BO45" s="259">
        <f t="shared" si="32"/>
        <v>14264.865902919173</v>
      </c>
      <c r="BP45" s="259">
        <f t="shared" si="46"/>
        <v>1069452.3874129404</v>
      </c>
      <c r="BQ45" s="185">
        <f t="shared" si="47"/>
        <v>0.19283484117472036</v>
      </c>
      <c r="BR45" s="142">
        <f t="shared" si="33"/>
        <v>0</v>
      </c>
      <c r="BS45" s="11"/>
      <c r="BT45" s="256">
        <f t="shared" si="34"/>
        <v>5545950</v>
      </c>
      <c r="BU45" s="186">
        <f t="shared" si="48"/>
        <v>0.19283484117472036</v>
      </c>
      <c r="BV45" s="187">
        <f t="shared" si="35"/>
        <v>1069452.3874129404</v>
      </c>
      <c r="BW45" s="143">
        <f t="shared" si="36"/>
        <v>0</v>
      </c>
      <c r="BY45" s="52">
        <f t="shared" si="49"/>
        <v>1069452.3874129404</v>
      </c>
      <c r="BZ45" s="188">
        <f t="shared" si="37"/>
        <v>8.7149191766529178E-3</v>
      </c>
      <c r="CA45" s="189">
        <f t="shared" si="38"/>
        <v>0</v>
      </c>
      <c r="CB45" s="147">
        <f t="shared" si="50"/>
        <v>1069452.3874129404</v>
      </c>
      <c r="CC45" s="190">
        <f t="shared" si="51"/>
        <v>0.19283484117472036</v>
      </c>
      <c r="CD45" s="148">
        <f t="shared" si="39"/>
        <v>0</v>
      </c>
      <c r="CE45" s="97"/>
      <c r="CF45" s="154">
        <f t="shared" si="40"/>
        <v>1663785</v>
      </c>
      <c r="CG45" s="189">
        <f t="shared" si="41"/>
        <v>0</v>
      </c>
      <c r="CH45" s="266">
        <f t="shared" si="42"/>
        <v>1069452.3874129404</v>
      </c>
      <c r="CI45" s="155">
        <f t="shared" si="43"/>
        <v>0.19283484117472036</v>
      </c>
      <c r="CJ45" s="276">
        <f>VLOOKUP(B45,'[5]Allocation Calculations'!$B$12:$CM$49, 90, FALSE)</f>
        <v>1001821.9709905545</v>
      </c>
      <c r="CK45" s="277">
        <f t="shared" si="44"/>
        <v>6.7507419861750545E-2</v>
      </c>
      <c r="CL45" s="278">
        <f t="shared" si="52"/>
        <v>0.74390129931539639</v>
      </c>
      <c r="CM45" s="279">
        <f>'Ridership'!L35</f>
        <v>-1.9797832065022815E-2</v>
      </c>
      <c r="CN45" s="278">
        <f t="shared" si="53"/>
        <v>0</v>
      </c>
      <c r="CO45" s="280"/>
    </row>
    <row r="46" spans="1:93">
      <c r="A46" s="71" t="s">
        <v>115</v>
      </c>
      <c r="B46" s="240" t="s">
        <v>171</v>
      </c>
      <c r="C46" s="27"/>
      <c r="D46" s="70">
        <f>'Op Cost - Performance'!E36</f>
        <v>537911</v>
      </c>
      <c r="E46" s="175">
        <f>'Ridership'!$E36</f>
        <v>28279</v>
      </c>
      <c r="F46" s="175">
        <f>'Revenue Hours - Sizing'!E36</f>
        <v>14739</v>
      </c>
      <c r="G46" s="175">
        <f>'Revenue Miles - Sizing'!E36</f>
        <v>375346</v>
      </c>
      <c r="H46" s="191">
        <f t="shared" si="45"/>
        <v>1.4091781890834712E-3</v>
      </c>
      <c r="I46" s="110">
        <f t="shared" si="0"/>
        <v>1.4091781890834712E-3</v>
      </c>
      <c r="J46" s="111"/>
      <c r="K46" s="112">
        <f>'Ridership'!B36/'Revenue Hours'!B36</f>
        <v>1.5445728965960179</v>
      </c>
      <c r="L46" s="177">
        <f>'Ridership'!C36/'Revenue Hours'!C36</f>
        <v>1.8291929463251384</v>
      </c>
      <c r="M46" s="177">
        <f>'Ridership'!D36/'Revenue Hours'!D36</f>
        <v>1.8592764259044676</v>
      </c>
      <c r="N46" s="177">
        <f>'Ridership'!E36/'Revenue Hours'!E36</f>
        <v>1.9186511975032228</v>
      </c>
      <c r="O46" s="178">
        <f t="shared" si="1"/>
        <v>0.97318686931968579</v>
      </c>
      <c r="P46" s="179">
        <f t="shared" si="2"/>
        <v>1.3713937101477276E-3</v>
      </c>
      <c r="Q46" s="113">
        <f t="shared" si="3"/>
        <v>1.3577111314866067E-3</v>
      </c>
      <c r="R46" s="114">
        <f>'Ridership'!B36/'Revenue Miles'!B36</f>
        <v>5.8014121779238044E-2</v>
      </c>
      <c r="S46" s="177">
        <f>'Ridership'!C36/'Revenue Miles'!C36</f>
        <v>6.7953110393320887E-2</v>
      </c>
      <c r="T46" s="177">
        <f>'Ridership'!D36/'Revenue Miles'!D36</f>
        <v>6.9838183946067764E-2</v>
      </c>
      <c r="U46" s="177">
        <f>'Ridership'!E36/'Revenue Miles'!E36</f>
        <v>7.5341151897182865E-2</v>
      </c>
      <c r="V46" s="178">
        <f t="shared" si="4"/>
        <v>0.98492103509119799</v>
      </c>
      <c r="W46" s="179">
        <f t="shared" si="5"/>
        <v>1.3879292406200323E-3</v>
      </c>
      <c r="X46" s="113">
        <f t="shared" si="6"/>
        <v>1.3716938272276998E-3</v>
      </c>
      <c r="Y46" s="262">
        <f>'Op Cost - Performance'!B36/'Revenue Hours'!B36</f>
        <v>36.826011560693644</v>
      </c>
      <c r="Z46" s="263">
        <f>'Op Cost - Performance'!C36/'Revenue Hours'!C36</f>
        <v>46.109795340455655</v>
      </c>
      <c r="AA46" s="263">
        <f>'Op Cost - Performance'!D36/'Revenue Hours'!D36</f>
        <v>38.936719454100682</v>
      </c>
      <c r="AB46" s="263">
        <f>'Op Cost - Performance'!E36/'Revenue Hours'!E36</f>
        <v>36.495759549494537</v>
      </c>
      <c r="AC46" s="178">
        <f t="shared" si="7"/>
        <v>0.94514576140290318</v>
      </c>
      <c r="AD46" s="179">
        <f t="shared" si="8"/>
        <v>1.4909638773513551E-3</v>
      </c>
      <c r="AE46" s="113">
        <f t="shared" si="9"/>
        <v>1.4865676451076794E-3</v>
      </c>
      <c r="AF46" s="262">
        <f>'Op Cost - Performance'!B36/'Revenue Miles'!B36</f>
        <v>1.3831841307289821</v>
      </c>
      <c r="AG46" s="263">
        <f>'Op Cost - Performance'!C36/'Revenue Miles'!C36</f>
        <v>1.712943415443541</v>
      </c>
      <c r="AH46" s="263">
        <f>'Op Cost - Performance'!D36/'Revenue Miles'!D36</f>
        <v>1.4625419532058537</v>
      </c>
      <c r="AI46" s="263">
        <f>'Op Cost - Performance'!E36/'Revenue Miles'!E36</f>
        <v>1.4331070532255572</v>
      </c>
      <c r="AJ46" s="178">
        <f t="shared" si="10"/>
        <v>0.95436380425360456</v>
      </c>
      <c r="AK46" s="179">
        <f t="shared" si="11"/>
        <v>1.4765629027450084E-3</v>
      </c>
      <c r="AL46" s="113">
        <f t="shared" si="12"/>
        <v>1.4750169275455629E-3</v>
      </c>
      <c r="AM46" s="262">
        <f>'Op Cost - Performance'!B36/'Ridership'!B36</f>
        <v>23.842197180755957</v>
      </c>
      <c r="AN46" s="263">
        <f>'Op Cost - Performance'!C36/'Ridership'!C36</f>
        <v>25.207726409119697</v>
      </c>
      <c r="AO46" s="263">
        <f>'Op Cost - Performance'!D36/'Ridership'!D36</f>
        <v>20.941866906723909</v>
      </c>
      <c r="AP46" s="263">
        <f>'Op Cost - Performance'!E36/'Ridership'!E36</f>
        <v>19.021570776901587</v>
      </c>
      <c r="AQ46" s="264">
        <f t="shared" si="13"/>
        <v>0.96850017805437405</v>
      </c>
      <c r="AR46" s="179">
        <f t="shared" si="14"/>
        <v>1.4550107692436133E-3</v>
      </c>
      <c r="AS46" s="115">
        <f t="shared" si="15"/>
        <v>1.4499440864205353E-3</v>
      </c>
      <c r="AT46" s="111"/>
      <c r="AU46" s="116">
        <f t="shared" si="16"/>
        <v>2.7154222629732137E-4</v>
      </c>
      <c r="AV46" s="180">
        <f t="shared" si="17"/>
        <v>2.7433876544553996E-4</v>
      </c>
      <c r="AW46" s="180">
        <f t="shared" si="18"/>
        <v>2.9731352902153589E-4</v>
      </c>
      <c r="AX46" s="180">
        <f t="shared" si="19"/>
        <v>2.950033855091126E-4</v>
      </c>
      <c r="AY46" s="117">
        <f t="shared" si="20"/>
        <v>2.8998881728410707E-4</v>
      </c>
      <c r="AZ46" s="111"/>
      <c r="BA46" s="118">
        <f t="shared" si="21"/>
        <v>37690.112060006752</v>
      </c>
      <c r="BB46" s="181">
        <f t="shared" si="22"/>
        <v>38078.272219528852</v>
      </c>
      <c r="BC46" s="181">
        <f t="shared" si="23"/>
        <v>41267.173723132641</v>
      </c>
      <c r="BD46" s="181">
        <f t="shared" si="24"/>
        <v>40946.525369301307</v>
      </c>
      <c r="BE46" s="181">
        <f t="shared" si="25"/>
        <v>40250.502356931713</v>
      </c>
      <c r="BF46" s="119">
        <f t="shared" si="26"/>
        <v>198232.58572890126</v>
      </c>
      <c r="BH46" s="257">
        <f>'Op Cost - Performance'!E36</f>
        <v>537911</v>
      </c>
      <c r="BI46" s="182">
        <f t="shared" si="27"/>
        <v>0.36852301910334845</v>
      </c>
      <c r="BJ46" s="183">
        <f t="shared" si="28"/>
        <v>161373.29999999999</v>
      </c>
      <c r="BK46" s="138">
        <f t="shared" si="29"/>
        <v>36859.285728901275</v>
      </c>
      <c r="BM46" s="52">
        <f t="shared" si="30"/>
        <v>0</v>
      </c>
      <c r="BN46" s="184">
        <f t="shared" si="31"/>
        <v>0</v>
      </c>
      <c r="BO46" s="259">
        <f t="shared" si="32"/>
        <v>0</v>
      </c>
      <c r="BP46" s="259">
        <f t="shared" si="46"/>
        <v>161373.29999999999</v>
      </c>
      <c r="BQ46" s="185">
        <f t="shared" si="47"/>
        <v>0.3</v>
      </c>
      <c r="BR46" s="142">
        <f t="shared" si="33"/>
        <v>0</v>
      </c>
      <c r="BS46" s="11"/>
      <c r="BT46" s="256">
        <f t="shared" si="34"/>
        <v>537911</v>
      </c>
      <c r="BU46" s="186">
        <f t="shared" si="48"/>
        <v>0.3</v>
      </c>
      <c r="BV46" s="187">
        <f t="shared" si="35"/>
        <v>161373.29999999999</v>
      </c>
      <c r="BW46" s="143">
        <f t="shared" si="36"/>
        <v>0</v>
      </c>
      <c r="BY46" s="52">
        <f t="shared" si="49"/>
        <v>0</v>
      </c>
      <c r="BZ46" s="188">
        <f t="shared" si="37"/>
        <v>0</v>
      </c>
      <c r="CA46" s="189">
        <f t="shared" si="38"/>
        <v>0</v>
      </c>
      <c r="CB46" s="147">
        <f t="shared" si="50"/>
        <v>161373.29999999999</v>
      </c>
      <c r="CC46" s="190">
        <f t="shared" si="51"/>
        <v>0.3</v>
      </c>
      <c r="CD46" s="148">
        <f t="shared" si="39"/>
        <v>0</v>
      </c>
      <c r="CE46" s="97"/>
      <c r="CF46" s="154">
        <f t="shared" si="40"/>
        <v>161373.29999999999</v>
      </c>
      <c r="CG46" s="189">
        <f t="shared" si="41"/>
        <v>0</v>
      </c>
      <c r="CH46" s="266">
        <f t="shared" si="42"/>
        <v>161373.29999999999</v>
      </c>
      <c r="CI46" s="155">
        <f t="shared" si="43"/>
        <v>0.3</v>
      </c>
      <c r="CJ46" s="276">
        <v>181452.9</v>
      </c>
      <c r="CK46" s="277">
        <f t="shared" si="44"/>
        <v>-0.11066012171753666</v>
      </c>
      <c r="CL46" s="278">
        <f t="shared" si="52"/>
        <v>-1.2194245980169323</v>
      </c>
      <c r="CM46" s="279">
        <f>'Ridership'!L36</f>
        <v>-2.08780555363202E-2</v>
      </c>
      <c r="CN46" s="278">
        <f t="shared" si="53"/>
        <v>5.3003078531441021</v>
      </c>
      <c r="CO46" s="281">
        <f>CJ46-CH46</f>
        <v>20079.600000000006</v>
      </c>
    </row>
    <row r="47" spans="1:93">
      <c r="A47" s="71" t="s">
        <v>115</v>
      </c>
      <c r="B47" s="240" t="s">
        <v>167</v>
      </c>
      <c r="C47" s="27"/>
      <c r="D47" s="70">
        <f>'Op Cost - Performance'!E37</f>
        <v>5142066</v>
      </c>
      <c r="E47" s="175">
        <f>'Ridership'!$E37</f>
        <v>135799</v>
      </c>
      <c r="F47" s="175">
        <f>'Revenue Hours - Sizing'!E37</f>
        <v>45862</v>
      </c>
      <c r="G47" s="175">
        <f>'Revenue Miles - Sizing'!E37</f>
        <v>890440</v>
      </c>
      <c r="H47" s="191">
        <f t="shared" si="45"/>
        <v>6.8975037059965825E-3</v>
      </c>
      <c r="I47" s="110">
        <f t="shared" si="0"/>
        <v>6.8975037059965825E-3</v>
      </c>
      <c r="J47" s="111"/>
      <c r="K47" s="112">
        <f>'Ridership'!B37/'Revenue Hours'!B37</f>
        <v>2.271031556749429</v>
      </c>
      <c r="L47" s="177">
        <f>'Ridership'!C37/'Revenue Hours'!C37</f>
        <v>2.6724711742855303</v>
      </c>
      <c r="M47" s="177">
        <f>'Ridership'!D37/'Revenue Hours'!D37</f>
        <v>2.7298088367343145</v>
      </c>
      <c r="N47" s="177">
        <f>'Ridership'!E37/'Revenue Hours'!E37</f>
        <v>2.9610352797523003</v>
      </c>
      <c r="O47" s="178">
        <f t="shared" si="1"/>
        <v>0.98918508208522538</v>
      </c>
      <c r="P47" s="179">
        <f t="shared" si="2"/>
        <v>6.822907769599376E-3</v>
      </c>
      <c r="Q47" s="113">
        <f t="shared" si="3"/>
        <v>6.754834705267573E-3</v>
      </c>
      <c r="R47" s="114">
        <f>'Ridership'!B37/'Revenue Miles'!B37</f>
        <v>0.11118198611423494</v>
      </c>
      <c r="S47" s="177">
        <f>'Ridership'!C37/'Revenue Miles'!C37</f>
        <v>0.13217419191779745</v>
      </c>
      <c r="T47" s="177">
        <f>'Ridership'!D37/'Revenue Miles'!D37</f>
        <v>0.13883366511760292</v>
      </c>
      <c r="U47" s="177">
        <f>'Ridership'!E37/'Revenue Miles'!E37</f>
        <v>0.15250774897803332</v>
      </c>
      <c r="V47" s="178">
        <f t="shared" si="4"/>
        <v>1.0030124715932793</v>
      </c>
      <c r="W47" s="179">
        <f t="shared" si="5"/>
        <v>6.9182822399754358E-3</v>
      </c>
      <c r="X47" s="113">
        <f t="shared" si="6"/>
        <v>6.8373550796825546E-3</v>
      </c>
      <c r="Y47" s="262">
        <f>'Op Cost - Performance'!B37/'Revenue Hours'!B37</f>
        <v>98.371300178244169</v>
      </c>
      <c r="Z47" s="263">
        <f>'Op Cost - Performance'!C37/'Revenue Hours'!C37</f>
        <v>93.44738367723788</v>
      </c>
      <c r="AA47" s="263">
        <f>'Op Cost - Performance'!D37/'Revenue Hours'!D37</f>
        <v>108.95381405851531</v>
      </c>
      <c r="AB47" s="263">
        <f>'Op Cost - Performance'!E37/'Revenue Hours'!E37</f>
        <v>112.12040469233789</v>
      </c>
      <c r="AC47" s="178">
        <f t="shared" si="7"/>
        <v>0.98457043861073978</v>
      </c>
      <c r="AD47" s="179">
        <f t="shared" si="8"/>
        <v>7.0055969948977746E-3</v>
      </c>
      <c r="AE47" s="113">
        <f t="shared" si="9"/>
        <v>6.9849404036395881E-3</v>
      </c>
      <c r="AF47" s="262">
        <f>'Op Cost - Performance'!B37/'Revenue Miles'!B37</f>
        <v>4.8159245070602568</v>
      </c>
      <c r="AG47" s="263">
        <f>'Op Cost - Performance'!C37/'Revenue Miles'!C37</f>
        <v>4.6216896717972462</v>
      </c>
      <c r="AH47" s="263">
        <f>'Op Cost - Performance'!D37/'Revenue Miles'!D37</f>
        <v>5.5412148758304092</v>
      </c>
      <c r="AI47" s="263">
        <f>'Op Cost - Performance'!E37/'Revenue Miles'!E37</f>
        <v>5.7747473159336957</v>
      </c>
      <c r="AJ47" s="178">
        <f t="shared" si="10"/>
        <v>0.99935289018116258</v>
      </c>
      <c r="AK47" s="179">
        <f t="shared" si="11"/>
        <v>6.9019700385778687E-3</v>
      </c>
      <c r="AL47" s="113">
        <f t="shared" si="12"/>
        <v>6.8947436112532208E-3</v>
      </c>
      <c r="AM47" s="262">
        <f>'Op Cost - Performance'!B37/'Ridership'!B37</f>
        <v>43.315690566204594</v>
      </c>
      <c r="AN47" s="263">
        <f>'Op Cost - Performance'!C37/'Ridership'!C37</f>
        <v>34.966657293214958</v>
      </c>
      <c r="AO47" s="263">
        <f>'Op Cost - Performance'!D37/'Ridership'!D37</f>
        <v>39.912616807577393</v>
      </c>
      <c r="AP47" s="263">
        <f>'Op Cost - Performance'!E37/'Ridership'!E37</f>
        <v>37.865271467389306</v>
      </c>
      <c r="AQ47" s="264">
        <f t="shared" si="13"/>
        <v>0.9984216625323189</v>
      </c>
      <c r="AR47" s="179">
        <f t="shared" si="14"/>
        <v>6.9084075044027905E-3</v>
      </c>
      <c r="AS47" s="115">
        <f t="shared" si="15"/>
        <v>6.8843508373476201E-3</v>
      </c>
      <c r="AT47" s="111"/>
      <c r="AU47" s="116">
        <f t="shared" si="16"/>
        <v>1.3509669410535147E-3</v>
      </c>
      <c r="AV47" s="180">
        <f t="shared" si="17"/>
        <v>1.3674710159365111E-3</v>
      </c>
      <c r="AW47" s="180">
        <f t="shared" si="18"/>
        <v>1.3969880807279177E-3</v>
      </c>
      <c r="AX47" s="180">
        <f t="shared" si="19"/>
        <v>1.3789487222506443E-3</v>
      </c>
      <c r="AY47" s="117">
        <f t="shared" si="20"/>
        <v>1.376870167469524E-3</v>
      </c>
      <c r="AZ47" s="111"/>
      <c r="BA47" s="118">
        <f t="shared" si="21"/>
        <v>187514.46540001276</v>
      </c>
      <c r="BB47" s="181">
        <f t="shared" si="22"/>
        <v>189805.23409653874</v>
      </c>
      <c r="BC47" s="181">
        <f t="shared" si="23"/>
        <v>193902.20823879415</v>
      </c>
      <c r="BD47" s="181">
        <f t="shared" si="24"/>
        <v>191398.34189074923</v>
      </c>
      <c r="BE47" s="181">
        <f t="shared" si="25"/>
        <v>191109.8380963614</v>
      </c>
      <c r="BF47" s="119">
        <f t="shared" si="26"/>
        <v>953730.08772245632</v>
      </c>
      <c r="BH47" s="257">
        <f>'Op Cost - Performance'!E37</f>
        <v>5142066</v>
      </c>
      <c r="BI47" s="182">
        <f t="shared" si="27"/>
        <v>0.18547604945608562</v>
      </c>
      <c r="BJ47" s="183">
        <f t="shared" si="28"/>
        <v>953730.08772245632</v>
      </c>
      <c r="BK47" s="138">
        <f t="shared" si="29"/>
        <v>0</v>
      </c>
      <c r="BM47" s="52">
        <f t="shared" si="30"/>
        <v>953730.08772245632</v>
      </c>
      <c r="BN47" s="184">
        <f t="shared" si="31"/>
        <v>7.8769701701446489E-3</v>
      </c>
      <c r="BO47" s="259">
        <f t="shared" si="32"/>
        <v>12893.283451145297</v>
      </c>
      <c r="BP47" s="259">
        <f t="shared" si="46"/>
        <v>966623.3711736016</v>
      </c>
      <c r="BQ47" s="185">
        <f t="shared" si="47"/>
        <v>0.1879834625175176</v>
      </c>
      <c r="BR47" s="142">
        <f t="shared" si="33"/>
        <v>0</v>
      </c>
      <c r="BS47" s="11"/>
      <c r="BT47" s="256">
        <f t="shared" si="34"/>
        <v>5142066</v>
      </c>
      <c r="BU47" s="186">
        <f t="shared" si="48"/>
        <v>0.1879834625175176</v>
      </c>
      <c r="BV47" s="187">
        <f t="shared" si="35"/>
        <v>966623.3711736016</v>
      </c>
      <c r="BW47" s="143">
        <f t="shared" si="36"/>
        <v>0</v>
      </c>
      <c r="BY47" s="52">
        <f t="shared" si="49"/>
        <v>966623.3711736016</v>
      </c>
      <c r="BZ47" s="188">
        <f t="shared" si="37"/>
        <v>7.8769701701446506E-3</v>
      </c>
      <c r="CA47" s="189">
        <f t="shared" si="38"/>
        <v>0</v>
      </c>
      <c r="CB47" s="147">
        <f t="shared" si="50"/>
        <v>966623.3711736016</v>
      </c>
      <c r="CC47" s="190">
        <f t="shared" si="51"/>
        <v>0.1879834625175176</v>
      </c>
      <c r="CD47" s="148">
        <f t="shared" si="39"/>
        <v>0</v>
      </c>
      <c r="CE47" s="97"/>
      <c r="CF47" s="154">
        <f t="shared" si="40"/>
        <v>1542619.8</v>
      </c>
      <c r="CG47" s="189">
        <f t="shared" si="41"/>
        <v>0</v>
      </c>
      <c r="CH47" s="266">
        <f t="shared" si="42"/>
        <v>966623.3711736016</v>
      </c>
      <c r="CI47" s="155">
        <f t="shared" si="43"/>
        <v>0.1879834625175176</v>
      </c>
      <c r="CJ47" s="276">
        <v>962324.56930696522</v>
      </c>
      <c r="CK47" s="277">
        <f t="shared" si="44"/>
        <v>4.4671018528938062E-3</v>
      </c>
      <c r="CL47" s="278">
        <f t="shared" si="52"/>
        <v>4.9225446319046233E-2</v>
      </c>
      <c r="CM47" s="279">
        <f>'Ridership'!L37</f>
        <v>7.9071578412052632E-2</v>
      </c>
      <c r="CN47" s="278">
        <f t="shared" si="53"/>
        <v>0</v>
      </c>
      <c r="CO47" s="280"/>
    </row>
    <row r="48" spans="1:93" ht="16.5" customHeight="1">
      <c r="A48" s="71" t="s">
        <v>115</v>
      </c>
      <c r="B48" s="240" t="s">
        <v>168</v>
      </c>
      <c r="C48" s="27"/>
      <c r="D48" s="70">
        <f>'Op Cost - Performance'!E38</f>
        <v>705021</v>
      </c>
      <c r="E48" s="175">
        <f>'Ridership'!$E38</f>
        <v>12961</v>
      </c>
      <c r="F48" s="175">
        <f>'Revenue Hours - Sizing'!E38</f>
        <v>5116</v>
      </c>
      <c r="G48" s="175">
        <f>'Revenue Miles - Sizing'!E38</f>
        <v>57889</v>
      </c>
      <c r="H48" s="176">
        <f t="shared" si="45"/>
        <v>7.9907193204570781E-4</v>
      </c>
      <c r="I48" s="110">
        <f t="shared" si="0"/>
        <v>7.9907193204570781E-4</v>
      </c>
      <c r="J48" s="111"/>
      <c r="K48" s="112">
        <f>'Ridership'!B38/'Revenue Hours'!B38</f>
        <v>2.1966604823747682</v>
      </c>
      <c r="L48" s="177">
        <f>'Ridership'!C38/'Revenue Hours'!C38</f>
        <v>2.1937241638481773</v>
      </c>
      <c r="M48" s="177">
        <f>'Ridership'!D38/'Revenue Hours'!D38</f>
        <v>2.3874407582938391</v>
      </c>
      <c r="N48" s="177">
        <f>'Ridership'!E38/'Revenue Hours'!E38</f>
        <v>2.5334245504300235</v>
      </c>
      <c r="O48" s="178">
        <f t="shared" si="1"/>
        <v>0.95240935508015623</v>
      </c>
      <c r="P48" s="179">
        <f t="shared" si="2"/>
        <v>7.6104358346230699E-4</v>
      </c>
      <c r="Q48" s="113">
        <f t="shared" si="3"/>
        <v>7.5345054973449254E-4</v>
      </c>
      <c r="R48" s="114">
        <f>'Ridership'!B38/'Revenue Miles'!B38</f>
        <v>0.21260549470281917</v>
      </c>
      <c r="S48" s="177">
        <f>'Ridership'!C38/'Revenue Miles'!C38</f>
        <v>0.19288275041715541</v>
      </c>
      <c r="T48" s="177">
        <f>'Ridership'!D38/'Revenue Miles'!D38</f>
        <v>0.20174882354904383</v>
      </c>
      <c r="U48" s="177">
        <f>'Ridership'!E38/'Revenue Miles'!E38</f>
        <v>0.22389400404221874</v>
      </c>
      <c r="V48" s="178">
        <f t="shared" si="4"/>
        <v>0.92619241952537656</v>
      </c>
      <c r="W48" s="179">
        <f t="shared" si="5"/>
        <v>7.4009436611623136E-4</v>
      </c>
      <c r="X48" s="113">
        <f t="shared" si="6"/>
        <v>7.3143705302592895E-4</v>
      </c>
      <c r="Y48" s="262">
        <f>'Op Cost - Performance'!B38/'Revenue Hours'!B38</f>
        <v>30.05751391465677</v>
      </c>
      <c r="Z48" s="263">
        <f>'Op Cost - Performance'!C38/'Revenue Hours'!C38</f>
        <v>32.056181886508831</v>
      </c>
      <c r="AA48" s="263">
        <f>'Op Cost - Performance'!D38/'Revenue Hours'!D38</f>
        <v>90.292061611374407</v>
      </c>
      <c r="AB48" s="263">
        <f>'Op Cost - Performance'!E38/'Revenue Hours'!E38</f>
        <v>137.8070758405004</v>
      </c>
      <c r="AC48" s="178">
        <f t="shared" si="7"/>
        <v>1.704862187839308</v>
      </c>
      <c r="AD48" s="179">
        <f t="shared" si="8"/>
        <v>4.6870177410552347E-4</v>
      </c>
      <c r="AE48" s="113">
        <f t="shared" si="9"/>
        <v>4.673197675503739E-4</v>
      </c>
      <c r="AF48" s="262">
        <f>'Op Cost - Performance'!B38/'Revenue Miles'!B38</f>
        <v>2.9091398814868019</v>
      </c>
      <c r="AG48" s="263">
        <f>'Op Cost - Performance'!C38/'Revenue Miles'!C38</f>
        <v>2.8185332650465065</v>
      </c>
      <c r="AH48" s="263">
        <f>'Op Cost - Performance'!D38/'Revenue Miles'!D38</f>
        <v>7.6300604078363312</v>
      </c>
      <c r="AI48" s="263">
        <f>'Op Cost - Performance'!E38/'Revenue Miles'!E38</f>
        <v>12.178842267097377</v>
      </c>
      <c r="AJ48" s="178">
        <f t="shared" si="10"/>
        <v>1.6569460601139472</v>
      </c>
      <c r="AK48" s="179">
        <f t="shared" si="11"/>
        <v>4.8225585085778593E-4</v>
      </c>
      <c r="AL48" s="113">
        <f t="shared" si="12"/>
        <v>4.8175092446160761E-4</v>
      </c>
      <c r="AM48" s="262">
        <f>'Op Cost - Performance'!B38/'Ridership'!B38</f>
        <v>13.683277027027026</v>
      </c>
      <c r="AN48" s="263">
        <f>'Op Cost - Performance'!C38/'Ridership'!C38</f>
        <v>14.612676659528908</v>
      </c>
      <c r="AO48" s="263">
        <f>'Op Cost - Performance'!D38/'Ridership'!D38</f>
        <v>37.819602977667493</v>
      </c>
      <c r="AP48" s="263">
        <f>'Op Cost - Performance'!E38/'Ridership'!E38</f>
        <v>54.395571329372736</v>
      </c>
      <c r="AQ48" s="264">
        <f t="shared" si="13"/>
        <v>1.7527025737547695</v>
      </c>
      <c r="AR48" s="179">
        <f t="shared" si="14"/>
        <v>4.5590846046050852E-4</v>
      </c>
      <c r="AS48" s="115">
        <f t="shared" si="15"/>
        <v>4.5432088213164705E-4</v>
      </c>
      <c r="AT48" s="111"/>
      <c r="AU48" s="116">
        <f t="shared" si="16"/>
        <v>1.5069010994689852E-4</v>
      </c>
      <c r="AV48" s="180">
        <f t="shared" si="17"/>
        <v>1.462874106051858E-4</v>
      </c>
      <c r="AW48" s="180">
        <f t="shared" si="18"/>
        <v>9.346395351007478E-5</v>
      </c>
      <c r="AX48" s="180">
        <f t="shared" si="19"/>
        <v>9.635018489232153E-5</v>
      </c>
      <c r="AY48" s="117">
        <f t="shared" si="20"/>
        <v>9.0864176426329413E-5</v>
      </c>
      <c r="AZ48" s="111"/>
      <c r="BA48" s="118">
        <f t="shared" si="21"/>
        <v>20915.815590370185</v>
      </c>
      <c r="BB48" s="181">
        <f t="shared" si="22"/>
        <v>20304.720094032982</v>
      </c>
      <c r="BC48" s="181">
        <f t="shared" si="23"/>
        <v>12972.814318421639</v>
      </c>
      <c r="BD48" s="181">
        <f t="shared" si="24"/>
        <v>13373.423776888989</v>
      </c>
      <c r="BE48" s="181">
        <f t="shared" si="25"/>
        <v>12611.96477043969</v>
      </c>
      <c r="BF48" s="119">
        <f t="shared" si="26"/>
        <v>80178.738550153488</v>
      </c>
      <c r="BH48" s="257">
        <f>'Op Cost - Performance'!E38</f>
        <v>705021</v>
      </c>
      <c r="BI48" s="182">
        <f t="shared" si="27"/>
        <v>0.11372531960062678</v>
      </c>
      <c r="BJ48" s="183">
        <f t="shared" si="28"/>
        <v>80178.738550153488</v>
      </c>
      <c r="BK48" s="138">
        <f t="shared" si="29"/>
        <v>0</v>
      </c>
      <c r="BM48" s="52">
        <f t="shared" si="30"/>
        <v>80178.738550153488</v>
      </c>
      <c r="BN48" s="184">
        <f t="shared" si="31"/>
        <v>6.6220573301570913E-4</v>
      </c>
      <c r="BO48" s="259">
        <f t="shared" si="32"/>
        <v>1083.9200903801564</v>
      </c>
      <c r="BP48" s="259">
        <f t="shared" si="46"/>
        <v>81262.658640533642</v>
      </c>
      <c r="BQ48" s="185">
        <f t="shared" si="47"/>
        <v>0.1152627491103579</v>
      </c>
      <c r="BR48" s="142">
        <f t="shared" si="33"/>
        <v>0</v>
      </c>
      <c r="BS48" s="11"/>
      <c r="BT48" s="256">
        <f t="shared" si="34"/>
        <v>705021</v>
      </c>
      <c r="BU48" s="186">
        <f t="shared" si="48"/>
        <v>0.1152627491103579</v>
      </c>
      <c r="BV48" s="187">
        <f t="shared" si="35"/>
        <v>81262.658640533642</v>
      </c>
      <c r="BW48" s="143">
        <f t="shared" si="36"/>
        <v>0</v>
      </c>
      <c r="BY48" s="52">
        <f t="shared" si="49"/>
        <v>81262.658640533642</v>
      </c>
      <c r="BZ48" s="188">
        <f t="shared" si="37"/>
        <v>6.6220573301570935E-4</v>
      </c>
      <c r="CA48" s="189">
        <f t="shared" si="38"/>
        <v>0</v>
      </c>
      <c r="CB48" s="147">
        <f t="shared" si="50"/>
        <v>81262.658640533642</v>
      </c>
      <c r="CC48" s="190">
        <f t="shared" si="51"/>
        <v>0.1152627491103579</v>
      </c>
      <c r="CD48" s="148">
        <f t="shared" si="39"/>
        <v>0</v>
      </c>
      <c r="CE48" s="97"/>
      <c r="CF48" s="154">
        <f t="shared" si="40"/>
        <v>211506.3</v>
      </c>
      <c r="CG48" s="189">
        <f t="shared" si="41"/>
        <v>0</v>
      </c>
      <c r="CH48" s="266">
        <f t="shared" si="42"/>
        <v>81262.658640533642</v>
      </c>
      <c r="CI48" s="155">
        <f t="shared" si="43"/>
        <v>0.1152627491103579</v>
      </c>
      <c r="CJ48" s="276">
        <v>61833.656721746825</v>
      </c>
      <c r="CK48" s="277">
        <f t="shared" si="44"/>
        <v>0.31421402111503555</v>
      </c>
      <c r="CL48" s="278">
        <f t="shared" si="52"/>
        <v>3.462496701092689</v>
      </c>
      <c r="CM48" s="279">
        <f>'Ridership'!L38</f>
        <v>7.2043010752688166E-2</v>
      </c>
      <c r="CN48" s="278">
        <f t="shared" si="53"/>
        <v>0</v>
      </c>
      <c r="CO48" s="280"/>
    </row>
    <row r="49" spans="1:93">
      <c r="A49" s="71" t="s">
        <v>115</v>
      </c>
      <c r="B49" s="240" t="s">
        <v>169</v>
      </c>
      <c r="C49" s="27"/>
      <c r="D49" s="70">
        <f>'Op Cost - Performance'!E39</f>
        <v>1208220</v>
      </c>
      <c r="E49" s="175">
        <f>'Ridership'!$E39</f>
        <v>70287</v>
      </c>
      <c r="F49" s="175">
        <f>'Revenue Hours - Sizing'!E39</f>
        <v>17965</v>
      </c>
      <c r="G49" s="175">
        <f>'Revenue Miles - Sizing'!E39</f>
        <v>302041</v>
      </c>
      <c r="H49" s="191">
        <f t="shared" si="45"/>
        <v>2.0998078291841423E-3</v>
      </c>
      <c r="I49" s="110">
        <f t="shared" si="0"/>
        <v>2.0998078291841423E-3</v>
      </c>
      <c r="J49" s="111"/>
      <c r="K49" s="112">
        <f>'Ridership'!B39/'Revenue Hours'!B39</f>
        <v>2.7255388346838654</v>
      </c>
      <c r="L49" s="177">
        <f>'Ridership'!C39/'Revenue Hours'!C39</f>
        <v>3.379350030141941</v>
      </c>
      <c r="M49" s="177">
        <f>'Ridership'!D39/'Revenue Hours'!D39</f>
        <v>3.379385132570623</v>
      </c>
      <c r="N49" s="177">
        <f>'Ridership'!E39/'Revenue Hours'!E39</f>
        <v>3.9124408572223768</v>
      </c>
      <c r="O49" s="178">
        <f t="shared" si="1"/>
        <v>1.0232098317964229</v>
      </c>
      <c r="P49" s="179">
        <f t="shared" si="2"/>
        <v>2.1485440157043181E-3</v>
      </c>
      <c r="Q49" s="113">
        <f t="shared" si="3"/>
        <v>2.12710770439253E-3</v>
      </c>
      <c r="R49" s="114">
        <f>'Ridership'!B39/'Revenue Miles'!B39</f>
        <v>0.1590504069225078</v>
      </c>
      <c r="S49" s="177">
        <f>'Ridership'!C39/'Revenue Miles'!C39</f>
        <v>0.19664325941233121</v>
      </c>
      <c r="T49" s="177">
        <f>'Ridership'!D39/'Revenue Miles'!D39</f>
        <v>0.20075307365498404</v>
      </c>
      <c r="U49" s="177">
        <f>'Ridership'!E39/'Revenue Miles'!E39</f>
        <v>0.23270681794855666</v>
      </c>
      <c r="V49" s="178">
        <f t="shared" si="4"/>
        <v>1.0262212910176534</v>
      </c>
      <c r="W49" s="179">
        <f t="shared" si="5"/>
        <v>2.1548675013543265E-3</v>
      </c>
      <c r="X49" s="113">
        <f t="shared" si="6"/>
        <v>2.1296607662656115E-3</v>
      </c>
      <c r="Y49" s="262">
        <f>'Op Cost - Performance'!B39/'Revenue Hours'!B39</f>
        <v>79.509949837384923</v>
      </c>
      <c r="Z49" s="263">
        <f>'Op Cost - Performance'!C39/'Revenue Hours'!C39</f>
        <v>73.872855811914292</v>
      </c>
      <c r="AA49" s="263">
        <f>'Op Cost - Performance'!D39/'Revenue Hours'!D39</f>
        <v>66.185056661063825</v>
      </c>
      <c r="AB49" s="263">
        <f>'Op Cost - Performance'!E39/'Revenue Hours'!E39</f>
        <v>67.254105204564425</v>
      </c>
      <c r="AC49" s="178">
        <f t="shared" si="7"/>
        <v>0.88746867099357374</v>
      </c>
      <c r="AD49" s="179">
        <f t="shared" si="8"/>
        <v>2.3660641753508699E-3</v>
      </c>
      <c r="AE49" s="113">
        <f t="shared" si="9"/>
        <v>2.3590876363640489E-3</v>
      </c>
      <c r="AF49" s="262">
        <f>'Op Cost - Performance'!B39/'Revenue Miles'!B39</f>
        <v>4.639849454756007</v>
      </c>
      <c r="AG49" s="263">
        <f>'Op Cost - Performance'!C39/'Revenue Miles'!C39</f>
        <v>4.2986370217298404</v>
      </c>
      <c r="AH49" s="263">
        <f>'Op Cost - Performance'!D39/'Revenue Miles'!D39</f>
        <v>3.9317369975616905</v>
      </c>
      <c r="AI49" s="263">
        <f>'Op Cost - Performance'!E39/'Revenue Miles'!E39</f>
        <v>4.0001854052926591</v>
      </c>
      <c r="AJ49" s="178">
        <f t="shared" si="10"/>
        <v>0.89053411101982227</v>
      </c>
      <c r="AK49" s="179">
        <f t="shared" si="11"/>
        <v>2.357919593646428E-3</v>
      </c>
      <c r="AL49" s="113">
        <f t="shared" si="12"/>
        <v>2.3554508297303853E-3</v>
      </c>
      <c r="AM49" s="262">
        <f>'Op Cost - Performance'!B39/'Ridership'!B39</f>
        <v>29.17219480624545</v>
      </c>
      <c r="AN49" s="263">
        <f>'Op Cost - Performance'!C39/'Ridership'!C39</f>
        <v>21.860078166809917</v>
      </c>
      <c r="AO49" s="263">
        <f>'Op Cost - Performance'!D39/'Ridership'!D39</f>
        <v>19.584940474280398</v>
      </c>
      <c r="AP49" s="263">
        <f>'Op Cost - Performance'!E39/'Ridership'!E39</f>
        <v>17.189807503521276</v>
      </c>
      <c r="AQ49" s="264">
        <f t="shared" si="13"/>
        <v>0.86945764448079377</v>
      </c>
      <c r="AR49" s="179">
        <f t="shared" si="14"/>
        <v>2.4150777700483223E-3</v>
      </c>
      <c r="AS49" s="115">
        <f t="shared" si="15"/>
        <v>2.4066679126695605E-3</v>
      </c>
      <c r="AT49" s="111"/>
      <c r="AU49" s="116">
        <f t="shared" si="16"/>
        <v>4.2542154087850604E-4</v>
      </c>
      <c r="AV49" s="180">
        <f t="shared" si="17"/>
        <v>4.2593215325312234E-4</v>
      </c>
      <c r="AW49" s="180">
        <f t="shared" si="18"/>
        <v>4.718175272728098E-4</v>
      </c>
      <c r="AX49" s="180">
        <f t="shared" si="19"/>
        <v>4.710901659460771E-4</v>
      </c>
      <c r="AY49" s="117">
        <f t="shared" si="20"/>
        <v>4.8133358253391213E-4</v>
      </c>
      <c r="AZ49" s="111"/>
      <c r="BA49" s="118">
        <f t="shared" si="21"/>
        <v>59048.58985318632</v>
      </c>
      <c r="BB49" s="181">
        <f t="shared" si="22"/>
        <v>59119.462946778192</v>
      </c>
      <c r="BC49" s="181">
        <f t="shared" si="23"/>
        <v>65488.361487161128</v>
      </c>
      <c r="BD49" s="181">
        <f t="shared" si="24"/>
        <v>65387.403598266697</v>
      </c>
      <c r="BE49" s="181">
        <f t="shared" si="25"/>
        <v>66809.191746420518</v>
      </c>
      <c r="BF49" s="119">
        <f t="shared" si="26"/>
        <v>315853.00963181286</v>
      </c>
      <c r="BH49" s="257">
        <f>'Op Cost - Performance'!E39</f>
        <v>1208220</v>
      </c>
      <c r="BI49" s="182">
        <f t="shared" si="27"/>
        <v>0.26142011358180867</v>
      </c>
      <c r="BJ49" s="183">
        <f t="shared" si="28"/>
        <v>315853.00963181286</v>
      </c>
      <c r="BK49" s="138">
        <f t="shared" si="29"/>
        <v>0</v>
      </c>
      <c r="BM49" s="52">
        <f t="shared" si="30"/>
        <v>315853.00963181286</v>
      </c>
      <c r="BN49" s="184">
        <f t="shared" si="31"/>
        <v>2.6086675539004484E-3</v>
      </c>
      <c r="BO49" s="259">
        <f t="shared" si="32"/>
        <v>4269.9527198573469</v>
      </c>
      <c r="BP49" s="259">
        <f t="shared" si="46"/>
        <v>320122.9623516702</v>
      </c>
      <c r="BQ49" s="185">
        <f t="shared" si="47"/>
        <v>0.26495419902970502</v>
      </c>
      <c r="BR49" s="142">
        <f t="shared" si="33"/>
        <v>0</v>
      </c>
      <c r="BS49" s="11"/>
      <c r="BT49" s="256">
        <f t="shared" si="34"/>
        <v>1208220</v>
      </c>
      <c r="BU49" s="186">
        <f t="shared" si="48"/>
        <v>0.26495419902970502</v>
      </c>
      <c r="BV49" s="187">
        <f t="shared" si="35"/>
        <v>320122.9623516702</v>
      </c>
      <c r="BW49" s="143">
        <f t="shared" si="36"/>
        <v>0</v>
      </c>
      <c r="BY49" s="52">
        <f t="shared" si="49"/>
        <v>320122.9623516702</v>
      </c>
      <c r="BZ49" s="188">
        <f t="shared" si="37"/>
        <v>2.6086675539004488E-3</v>
      </c>
      <c r="CA49" s="189">
        <f t="shared" si="38"/>
        <v>0</v>
      </c>
      <c r="CB49" s="147">
        <f t="shared" si="50"/>
        <v>320122.9623516702</v>
      </c>
      <c r="CC49" s="190">
        <f t="shared" si="51"/>
        <v>0.26495419902970502</v>
      </c>
      <c r="CD49" s="148">
        <f t="shared" si="39"/>
        <v>0</v>
      </c>
      <c r="CE49" s="97"/>
      <c r="CF49" s="154">
        <f t="shared" si="40"/>
        <v>362466</v>
      </c>
      <c r="CG49" s="189">
        <f t="shared" si="41"/>
        <v>0</v>
      </c>
      <c r="CH49" s="266">
        <f t="shared" si="42"/>
        <v>320122.9623516702</v>
      </c>
      <c r="CI49" s="155">
        <f t="shared" si="43"/>
        <v>0.26495419902970502</v>
      </c>
      <c r="CJ49" s="276">
        <v>290338.54631371854</v>
      </c>
      <c r="CK49" s="277">
        <f t="shared" si="44"/>
        <v>0.10258512490370052</v>
      </c>
      <c r="CL49" s="278">
        <f t="shared" si="52"/>
        <v>1.1304417775494604</v>
      </c>
      <c r="CM49" s="279">
        <f>'Ridership'!L39</f>
        <v>0.12773160478772905</v>
      </c>
      <c r="CN49" s="278">
        <f t="shared" si="53"/>
        <v>0</v>
      </c>
      <c r="CO49" s="280"/>
    </row>
    <row r="50" spans="1:93" ht="16.5" thickBot="1">
      <c r="A50" s="71" t="s">
        <v>115</v>
      </c>
      <c r="B50" s="240" t="s">
        <v>172</v>
      </c>
      <c r="C50" s="27"/>
      <c r="D50" s="70">
        <f>'Op Cost - Performance'!E40</f>
        <v>5119725</v>
      </c>
      <c r="E50" s="175">
        <f>'Ridership'!$E40</f>
        <v>196650</v>
      </c>
      <c r="F50" s="175">
        <f>'Revenue Hours - Sizing'!E40</f>
        <v>65376</v>
      </c>
      <c r="G50" s="175">
        <f>'Revenue Miles - Sizing'!E40</f>
        <v>983647</v>
      </c>
      <c r="H50" s="191">
        <f t="shared" si="45"/>
        <v>7.7277494123966142E-3</v>
      </c>
      <c r="I50" s="110">
        <f t="shared" si="0"/>
        <v>7.7277494123966142E-3</v>
      </c>
      <c r="J50" s="111"/>
      <c r="K50" s="112">
        <f>'Ridership'!B40/'Revenue Hours'!B40</f>
        <v>2.7993357457988401</v>
      </c>
      <c r="L50" s="177">
        <f>'Ridership'!C40/'Revenue Hours'!C40</f>
        <v>2.9370912341787041</v>
      </c>
      <c r="M50" s="177">
        <f>'Ridership'!D40/'Revenue Hours'!D40</f>
        <v>3.0469340297681482</v>
      </c>
      <c r="N50" s="177">
        <f>'Ridership'!E40/'Revenue Hours'!E40</f>
        <v>3.0079845814977975</v>
      </c>
      <c r="O50" s="178">
        <f t="shared" si="1"/>
        <v>0.92763044211760437</v>
      </c>
      <c r="P50" s="179">
        <f t="shared" si="2"/>
        <v>7.1684956039955285E-3</v>
      </c>
      <c r="Q50" s="113">
        <f t="shared" si="3"/>
        <v>7.0969745635694331E-3</v>
      </c>
      <c r="R50" s="114">
        <f>'Ridership'!B40/'Revenue Miles'!B40</f>
        <v>0.1810610173694088</v>
      </c>
      <c r="S50" s="177">
        <f>'Ridership'!C40/'Revenue Miles'!C40</f>
        <v>0.18826739427012279</v>
      </c>
      <c r="T50" s="177">
        <f>'Ridership'!D40/'Revenue Miles'!D40</f>
        <v>0.19505599363321124</v>
      </c>
      <c r="U50" s="177">
        <f>'Ridership'!E40/'Revenue Miles'!E40</f>
        <v>0.1999192799856046</v>
      </c>
      <c r="V50" s="178">
        <f t="shared" si="4"/>
        <v>0.93373434105098274</v>
      </c>
      <c r="W50" s="179">
        <f t="shared" si="5"/>
        <v>7.2156650053912712E-3</v>
      </c>
      <c r="X50" s="113">
        <f t="shared" si="6"/>
        <v>7.1312591863952101E-3</v>
      </c>
      <c r="Y50" s="114">
        <f>'Op Cost - Performance'!B40/'Revenue Hours'!B40</f>
        <v>66.464250896412693</v>
      </c>
      <c r="Z50" s="177">
        <f>'Op Cost - Performance'!C40/'Revenue Hours'!C40</f>
        <v>73.070531219122003</v>
      </c>
      <c r="AA50" s="177">
        <f>'Op Cost - Performance'!D40/'Revenue Hours'!D40</f>
        <v>77.638416815919683</v>
      </c>
      <c r="AB50" s="177">
        <f>'Op Cost - Performance'!E40/'Revenue Hours'!E40</f>
        <v>78.311995227606459</v>
      </c>
      <c r="AC50" s="178">
        <f t="shared" si="7"/>
        <v>0.99069376513119733</v>
      </c>
      <c r="AD50" s="179">
        <f t="shared" si="8"/>
        <v>7.800341219845297E-3</v>
      </c>
      <c r="AE50" s="113">
        <f t="shared" si="9"/>
        <v>7.7773412584758259E-3</v>
      </c>
      <c r="AF50" s="262">
        <f>'Op Cost - Performance'!B40/'Revenue Miles'!B40</f>
        <v>4.2989073047277451</v>
      </c>
      <c r="AG50" s="263">
        <f>'Op Cost - Performance'!C40/'Revenue Miles'!C40</f>
        <v>4.6838172238134641</v>
      </c>
      <c r="AH50" s="263">
        <f>'Op Cost - Performance'!D40/'Revenue Miles'!D40</f>
        <v>4.9701891764591233</v>
      </c>
      <c r="AI50" s="263">
        <f>'Op Cost - Performance'!E40/'Revenue Miles'!E40</f>
        <v>5.2048397443391785</v>
      </c>
      <c r="AJ50" s="178">
        <f t="shared" si="10"/>
        <v>0.99632627874431645</v>
      </c>
      <c r="AK50" s="179">
        <f t="shared" si="11"/>
        <v>7.7562436897037406E-3</v>
      </c>
      <c r="AL50" s="113">
        <f t="shared" si="12"/>
        <v>7.7481228298589989E-3</v>
      </c>
      <c r="AM50" s="262">
        <f>'Op Cost - Performance'!B40/'Ridership'!B40</f>
        <v>23.742865069386646</v>
      </c>
      <c r="AN50" s="263">
        <f>'Op Cost - Performance'!C40/'Ridership'!C40</f>
        <v>24.878536413443978</v>
      </c>
      <c r="AO50" s="263">
        <f>'Op Cost - Performance'!D40/'Ridership'!D40</f>
        <v>25.48083288230151</v>
      </c>
      <c r="AP50" s="263">
        <f>'Op Cost - Performance'!E40/'Ridership'!E40</f>
        <v>26.034706331045005</v>
      </c>
      <c r="AQ50" s="264">
        <f t="shared" si="13"/>
        <v>1.069170542358268</v>
      </c>
      <c r="AR50" s="179">
        <f t="shared" si="14"/>
        <v>7.2277986590909326E-3</v>
      </c>
      <c r="AS50" s="115">
        <f t="shared" si="15"/>
        <v>7.2026297984276403E-3</v>
      </c>
      <c r="AT50" s="111"/>
      <c r="AU50" s="116">
        <f t="shared" si="16"/>
        <v>1.4193949127138867E-3</v>
      </c>
      <c r="AV50" s="180">
        <f t="shared" si="17"/>
        <v>1.426251837279042E-3</v>
      </c>
      <c r="AW50" s="180">
        <f t="shared" si="18"/>
        <v>1.5554682516951653E-3</v>
      </c>
      <c r="AX50" s="180">
        <f t="shared" si="19"/>
        <v>1.5496245659717999E-3</v>
      </c>
      <c r="AY50" s="117">
        <f t="shared" si="20"/>
        <v>1.4405259596855281E-3</v>
      </c>
      <c r="AZ50" s="111"/>
      <c r="BA50" s="118">
        <f t="shared" si="21"/>
        <v>197012.28073093106</v>
      </c>
      <c r="BB50" s="181">
        <f t="shared" si="22"/>
        <v>197964.02314967645</v>
      </c>
      <c r="BC50" s="181">
        <f t="shared" si="23"/>
        <v>215899.28576332025</v>
      </c>
      <c r="BD50" s="181">
        <f t="shared" si="24"/>
        <v>215088.18108630422</v>
      </c>
      <c r="BE50" s="181">
        <f t="shared" si="25"/>
        <v>199945.27402323173</v>
      </c>
      <c r="BF50" s="119">
        <f t="shared" si="26"/>
        <v>1025909.0447534637</v>
      </c>
      <c r="BH50" s="257">
        <f>'Op Cost - Performance'!E40</f>
        <v>5119725</v>
      </c>
      <c r="BI50" s="182">
        <f t="shared" si="27"/>
        <v>0.20038362309566699</v>
      </c>
      <c r="BJ50" s="183">
        <f t="shared" si="28"/>
        <v>1025909.0447534637</v>
      </c>
      <c r="BK50" s="138">
        <f t="shared" si="29"/>
        <v>0</v>
      </c>
      <c r="BM50" s="52">
        <f t="shared" si="30"/>
        <v>1025909.0447534637</v>
      </c>
      <c r="BN50" s="184">
        <f t="shared" si="31"/>
        <v>8.4731047566114753E-3</v>
      </c>
      <c r="BO50" s="259">
        <f t="shared" si="32"/>
        <v>13869.056119103354</v>
      </c>
      <c r="BP50" s="259">
        <f t="shared" si="46"/>
        <v>1039778.100872567</v>
      </c>
      <c r="BQ50" s="185">
        <f>BP50/BH50</f>
        <v>0.20309256861893304</v>
      </c>
      <c r="BR50" s="142">
        <f t="shared" si="33"/>
        <v>0</v>
      </c>
      <c r="BS50" s="11"/>
      <c r="BT50" s="256">
        <f t="shared" si="34"/>
        <v>5119725</v>
      </c>
      <c r="BU50" s="186">
        <f t="shared" si="48"/>
        <v>0.20309256861893304</v>
      </c>
      <c r="BV50" s="187">
        <f t="shared" si="35"/>
        <v>1039778.100872567</v>
      </c>
      <c r="BW50" s="143">
        <f t="shared" si="36"/>
        <v>0</v>
      </c>
      <c r="BY50" s="52">
        <f t="shared" si="49"/>
        <v>1039778.100872567</v>
      </c>
      <c r="BZ50" s="188">
        <f t="shared" si="37"/>
        <v>8.473104756611477E-3</v>
      </c>
      <c r="CA50" s="189">
        <f t="shared" si="38"/>
        <v>0</v>
      </c>
      <c r="CB50" s="147">
        <f t="shared" si="50"/>
        <v>1039778.100872567</v>
      </c>
      <c r="CC50" s="190">
        <f t="shared" si="51"/>
        <v>0.20309256861893304</v>
      </c>
      <c r="CD50" s="148">
        <f t="shared" si="39"/>
        <v>0</v>
      </c>
      <c r="CE50" s="97"/>
      <c r="CF50" s="154">
        <f t="shared" si="40"/>
        <v>1535917.5</v>
      </c>
      <c r="CG50" s="189">
        <f t="shared" si="41"/>
        <v>0</v>
      </c>
      <c r="CH50" s="266">
        <f t="shared" si="42"/>
        <v>1039778.100872567</v>
      </c>
      <c r="CI50" s="155">
        <f t="shared" si="43"/>
        <v>0.20309256861893304</v>
      </c>
      <c r="CJ50" s="276">
        <v>971878.97171513084</v>
      </c>
      <c r="CK50" s="277">
        <f t="shared" si="44"/>
        <v>6.986377021576122E-2</v>
      </c>
      <c r="CL50" s="278">
        <f t="shared" si="52"/>
        <v>0.76986721674463021</v>
      </c>
      <c r="CM50" s="279">
        <f>'Ridership'!L40</f>
        <v>2.3408551563345686E-2</v>
      </c>
      <c r="CN50" s="278">
        <f t="shared" si="53"/>
        <v>0</v>
      </c>
      <c r="CO50" s="283"/>
    </row>
    <row r="51" spans="1:93" s="18" customFormat="1" ht="16.5" thickBot="1">
      <c r="A51" s="103"/>
      <c r="B51" s="241" t="s">
        <v>122</v>
      </c>
      <c r="C51" s="27"/>
      <c r="D51" s="255">
        <f t="shared" ref="D51:I51" si="90">SUM(D12:D50)</f>
        <v>648731914</v>
      </c>
      <c r="E51" s="102">
        <f t="shared" si="90"/>
        <v>58683534</v>
      </c>
      <c r="F51" s="102">
        <f t="shared" si="90"/>
        <v>4873590.9100194974</v>
      </c>
      <c r="G51" s="102">
        <f t="shared" si="90"/>
        <v>68543972.149694741</v>
      </c>
      <c r="H51" s="121">
        <f>SUM(H12:H50)</f>
        <v>1</v>
      </c>
      <c r="I51" s="122">
        <f t="shared" si="90"/>
        <v>1</v>
      </c>
      <c r="J51" s="123"/>
      <c r="K51" s="124">
        <f>'Ridership'!B41/'Revenue Hours'!B41</f>
        <v>9.0855066079191875</v>
      </c>
      <c r="L51" s="125">
        <f>'Ridership'!C41/'Revenue Hours'!C41</f>
        <v>10.753024574132743</v>
      </c>
      <c r="M51" s="125">
        <f>'Ridership'!D41/'Revenue Hours'!D41</f>
        <v>11.533150031603272</v>
      </c>
      <c r="N51" s="125">
        <f>'Ridership'!E41/'Revenue Hours'!E41</f>
        <v>12.253777206549536</v>
      </c>
      <c r="O51" s="126"/>
      <c r="P51" s="127">
        <f>SUM(P12:P50)</f>
        <v>1.0100776802545173</v>
      </c>
      <c r="Q51" s="128">
        <f>SUM(Q12:Q50)</f>
        <v>1.0000000000000002</v>
      </c>
      <c r="R51" s="193">
        <f>'Ridership'!B41/'Revenue Miles'!B41</f>
        <v>0.65446645508002665</v>
      </c>
      <c r="S51" s="125">
        <f>'Ridership'!C41/'Revenue Miles'!C41</f>
        <v>0.77773364837436298</v>
      </c>
      <c r="T51" s="125">
        <f>'Ridership'!D41/'Revenue Miles'!D41</f>
        <v>0.83670291408692321</v>
      </c>
      <c r="U51" s="125">
        <f>'Ridership'!E41/'Revenue Miles'!E41</f>
        <v>0.89035881291095931</v>
      </c>
      <c r="V51" s="126"/>
      <c r="W51" s="127">
        <f>SUM(W12:W50)</f>
        <v>1.0118360329907918</v>
      </c>
      <c r="X51" s="128">
        <f>SUM(X12:X50)</f>
        <v>1</v>
      </c>
      <c r="Y51" s="194">
        <f>'Op Cost - Performance'!B41/'Revenue Hours'!B41</f>
        <v>111.56121630071407</v>
      </c>
      <c r="Z51" s="129">
        <f>'Op Cost - Performance'!C41/'Revenue Hours'!C41</f>
        <v>121.67487817364328</v>
      </c>
      <c r="AA51" s="129">
        <f>'Op Cost - Performance'!D41/'Revenue Hours'!D41</f>
        <v>126.28042274288779</v>
      </c>
      <c r="AB51" s="129">
        <f>'Op Cost - Performance'!E41/'Revenue Hours'!E41</f>
        <v>135.46246790342337</v>
      </c>
      <c r="AC51" s="126"/>
      <c r="AD51" s="127">
        <f>SUM(AD12:AD50)</f>
        <v>1.0029573038658173</v>
      </c>
      <c r="AE51" s="128">
        <f>SUM(AE12:AE50)</f>
        <v>0.99999999999999944</v>
      </c>
      <c r="AF51" s="194">
        <f>'Op Cost - Performance'!B41/'Revenue Miles'!B41</f>
        <v>8.0362138191726302</v>
      </c>
      <c r="AG51" s="129">
        <f>'Op Cost - Performance'!C41/'Revenue Miles'!C41</f>
        <v>8.8003748401296598</v>
      </c>
      <c r="AH51" s="129">
        <f>'Op Cost - Performance'!D41/'Revenue Miles'!D41</f>
        <v>9.1613477160683967</v>
      </c>
      <c r="AI51" s="129">
        <f>'Op Cost - Performance'!E41/'Revenue Miles'!E41</f>
        <v>9.8426958547945418</v>
      </c>
      <c r="AJ51" s="126"/>
      <c r="AK51" s="127">
        <f>SUM(AK12:AK50)</f>
        <v>1.0010481067508954</v>
      </c>
      <c r="AL51" s="128">
        <f>SUM(AL12:AL50)</f>
        <v>0.99999999999999978</v>
      </c>
      <c r="AM51" s="194">
        <f>'Op Cost - Performance'!B41/'Ridership'!B41</f>
        <v>12.279030891185982</v>
      </c>
      <c r="AN51" s="129">
        <f>'Op Cost - Performance'!C41/'Ridership'!C41</f>
        <v>11.315409663095339</v>
      </c>
      <c r="AO51" s="129">
        <f>'Op Cost - Performance'!D41/'Ridership'!D41</f>
        <v>10.94934362224134</v>
      </c>
      <c r="AP51" s="129">
        <f>'Op Cost - Performance'!E41/'Ridership'!E41</f>
        <v>11.054751985454727</v>
      </c>
      <c r="AQ51" s="130"/>
      <c r="AR51" s="127">
        <f>SUM(AR12:AR50)</f>
        <v>1.0034943987637386</v>
      </c>
      <c r="AS51" s="131">
        <f>SUM(AS12:AS50)</f>
        <v>0.99999999999999978</v>
      </c>
      <c r="AT51" s="123"/>
      <c r="AU51" s="132">
        <f>SUM(AU12:AU50)</f>
        <v>0.20000000000000007</v>
      </c>
      <c r="AV51" s="133">
        <f>SUM(AV12:AV50)</f>
        <v>0.19999999999999996</v>
      </c>
      <c r="AW51" s="133">
        <f>SUM(AW12:AW50)</f>
        <v>0.2</v>
      </c>
      <c r="AX51" s="133">
        <f>SUM(AX12:AX50)</f>
        <v>0.19999999999999996</v>
      </c>
      <c r="AY51" s="134">
        <f>SUM(AY12:AY50)</f>
        <v>0.19999999999999998</v>
      </c>
      <c r="AZ51" s="123"/>
      <c r="BA51" s="135">
        <f t="shared" si="21"/>
        <v>27760037.600000009</v>
      </c>
      <c r="BB51" s="136">
        <f t="shared" si="22"/>
        <v>27760037.599999994</v>
      </c>
      <c r="BC51" s="136">
        <f t="shared" si="23"/>
        <v>27760037.600000001</v>
      </c>
      <c r="BD51" s="136">
        <f t="shared" si="24"/>
        <v>27760037.599999994</v>
      </c>
      <c r="BE51" s="136">
        <f t="shared" si="25"/>
        <v>27760037.599999998</v>
      </c>
      <c r="BF51" s="137">
        <f t="shared" si="26"/>
        <v>138800188</v>
      </c>
      <c r="BH51" s="258">
        <f>'Op Cost - Performance'!E41</f>
        <v>648731914</v>
      </c>
      <c r="BI51" s="139"/>
      <c r="BJ51" s="140">
        <f>SUM(BJ12:BJ50)</f>
        <v>137163355.16038695</v>
      </c>
      <c r="BK51" s="141">
        <f>SUM(BK12:BK50)</f>
        <v>1636832.8396130679</v>
      </c>
      <c r="BM51" s="255">
        <f>SUM(BM12:BM50)</f>
        <v>121078291.16038693</v>
      </c>
      <c r="BN51" s="101"/>
      <c r="BO51" s="260">
        <f>SUM(BO12:BO50)</f>
        <v>1636832.8396130677</v>
      </c>
      <c r="BP51" s="260">
        <f>SUM(BP12:BP50)</f>
        <v>138800188</v>
      </c>
      <c r="BQ51" s="105"/>
      <c r="BR51" s="106">
        <f>SUM(BR12:BR50)</f>
        <v>0</v>
      </c>
      <c r="BT51" s="261">
        <f>SUM(BT12:BT50)</f>
        <v>648731914</v>
      </c>
      <c r="BU51" s="144"/>
      <c r="BV51" s="145">
        <f>SUM(BV12:BV50)</f>
        <v>138800188</v>
      </c>
      <c r="BW51" s="146">
        <f t="shared" si="36"/>
        <v>0</v>
      </c>
      <c r="BX51" s="1"/>
      <c r="BY51" s="100">
        <f>SUM(BY12:BY50)</f>
        <v>122715123.99999997</v>
      </c>
      <c r="BZ51" s="149">
        <f t="shared" si="37"/>
        <v>1</v>
      </c>
      <c r="CA51" s="150">
        <f t="shared" si="38"/>
        <v>0</v>
      </c>
      <c r="CB51" s="151">
        <f>(CA51+BV51)</f>
        <v>138800188</v>
      </c>
      <c r="CC51" s="152">
        <f>CB51/BT51</f>
        <v>0.2139561581673628</v>
      </c>
      <c r="CD51" s="153">
        <f>SUM(CD12:CD50)</f>
        <v>0</v>
      </c>
      <c r="CE51" s="98"/>
      <c r="CF51" s="156">
        <f>SUM(CF12:CF50)</f>
        <v>194619574.20000002</v>
      </c>
      <c r="CG51" s="145">
        <f>SUM(CG12:CG50)</f>
        <v>0</v>
      </c>
      <c r="CH51" s="157">
        <f>SUM(CH12:CH50)</f>
        <v>138800188</v>
      </c>
      <c r="CI51" s="158">
        <f>AVERAGE(CI12:CI50)</f>
        <v>0.2321498303877062</v>
      </c>
      <c r="CJ51" s="271">
        <f>SUM(CJ12:CJ50)</f>
        <v>127252317.80000004</v>
      </c>
      <c r="CK51" s="272">
        <f>(CH51-CJ51)/CJ51</f>
        <v>9.0747818190231463E-2</v>
      </c>
      <c r="CN51" s="7" t="s">
        <v>203</v>
      </c>
      <c r="CO51" s="284">
        <f>SUM(CO12:CO50)</f>
        <v>1047333.1145523625</v>
      </c>
    </row>
    <row r="52" spans="1:93">
      <c r="B52" s="1">
        <v>1</v>
      </c>
      <c r="C52" s="1">
        <f>B52+1</f>
        <v>2</v>
      </c>
      <c r="D52" s="1">
        <f t="shared" ref="D52:BO52" si="91">C52+1</f>
        <v>3</v>
      </c>
      <c r="E52" s="1">
        <f t="shared" si="91"/>
        <v>4</v>
      </c>
      <c r="F52" s="1">
        <f t="shared" si="91"/>
        <v>5</v>
      </c>
      <c r="G52" s="1">
        <f t="shared" si="91"/>
        <v>6</v>
      </c>
      <c r="H52" s="1">
        <f t="shared" si="91"/>
        <v>7</v>
      </c>
      <c r="I52" s="1">
        <f t="shared" si="91"/>
        <v>8</v>
      </c>
      <c r="J52" s="1">
        <f t="shared" si="91"/>
        <v>9</v>
      </c>
      <c r="K52" s="1">
        <f t="shared" si="91"/>
        <v>10</v>
      </c>
      <c r="L52" s="1">
        <f t="shared" si="91"/>
        <v>11</v>
      </c>
      <c r="M52" s="1">
        <f t="shared" si="91"/>
        <v>12</v>
      </c>
      <c r="N52" s="1">
        <f t="shared" si="91"/>
        <v>13</v>
      </c>
      <c r="O52" s="1">
        <f t="shared" si="91"/>
        <v>14</v>
      </c>
      <c r="P52" s="1">
        <f t="shared" si="91"/>
        <v>15</v>
      </c>
      <c r="Q52" s="1">
        <f t="shared" si="91"/>
        <v>16</v>
      </c>
      <c r="R52" s="1">
        <f t="shared" si="91"/>
        <v>17</v>
      </c>
      <c r="S52" s="1">
        <f t="shared" si="91"/>
        <v>18</v>
      </c>
      <c r="T52" s="1">
        <f t="shared" si="91"/>
        <v>19</v>
      </c>
      <c r="U52" s="1">
        <f t="shared" si="91"/>
        <v>20</v>
      </c>
      <c r="V52" s="1">
        <f t="shared" si="91"/>
        <v>21</v>
      </c>
      <c r="W52" s="1">
        <f t="shared" si="91"/>
        <v>22</v>
      </c>
      <c r="X52" s="1">
        <f t="shared" si="91"/>
        <v>23</v>
      </c>
      <c r="Y52" s="1">
        <f t="shared" si="91"/>
        <v>24</v>
      </c>
      <c r="Z52" s="1">
        <f t="shared" si="91"/>
        <v>25</v>
      </c>
      <c r="AA52" s="1">
        <f t="shared" si="91"/>
        <v>26</v>
      </c>
      <c r="AB52" s="1">
        <f t="shared" si="91"/>
        <v>27</v>
      </c>
      <c r="AC52" s="1">
        <f t="shared" si="91"/>
        <v>28</v>
      </c>
      <c r="AD52" s="1">
        <f t="shared" si="91"/>
        <v>29</v>
      </c>
      <c r="AE52" s="1">
        <f t="shared" si="91"/>
        <v>30</v>
      </c>
      <c r="AF52" s="1">
        <f t="shared" si="91"/>
        <v>31</v>
      </c>
      <c r="AG52" s="1">
        <f t="shared" si="91"/>
        <v>32</v>
      </c>
      <c r="AH52" s="1">
        <f t="shared" si="91"/>
        <v>33</v>
      </c>
      <c r="AI52" s="1">
        <f t="shared" si="91"/>
        <v>34</v>
      </c>
      <c r="AJ52" s="1">
        <f t="shared" si="91"/>
        <v>35</v>
      </c>
      <c r="AK52" s="1">
        <f t="shared" si="91"/>
        <v>36</v>
      </c>
      <c r="AL52" s="1">
        <f t="shared" si="91"/>
        <v>37</v>
      </c>
      <c r="AM52" s="1">
        <f t="shared" si="91"/>
        <v>38</v>
      </c>
      <c r="AN52" s="1">
        <f t="shared" si="91"/>
        <v>39</v>
      </c>
      <c r="AO52" s="1">
        <f t="shared" si="91"/>
        <v>40</v>
      </c>
      <c r="AP52" s="1">
        <f t="shared" si="91"/>
        <v>41</v>
      </c>
      <c r="AQ52" s="1">
        <f t="shared" si="91"/>
        <v>42</v>
      </c>
      <c r="AR52" s="1">
        <f t="shared" si="91"/>
        <v>43</v>
      </c>
      <c r="AS52" s="1">
        <f t="shared" si="91"/>
        <v>44</v>
      </c>
      <c r="AT52" s="1">
        <f t="shared" si="91"/>
        <v>45</v>
      </c>
      <c r="AU52" s="1">
        <f t="shared" si="91"/>
        <v>46</v>
      </c>
      <c r="AV52" s="1">
        <f t="shared" si="91"/>
        <v>47</v>
      </c>
      <c r="AW52" s="1">
        <f t="shared" si="91"/>
        <v>48</v>
      </c>
      <c r="AX52" s="1">
        <f t="shared" si="91"/>
        <v>49</v>
      </c>
      <c r="AY52" s="1">
        <f t="shared" si="91"/>
        <v>50</v>
      </c>
      <c r="AZ52" s="1">
        <f t="shared" si="91"/>
        <v>51</v>
      </c>
      <c r="BA52" s="1">
        <f t="shared" si="91"/>
        <v>52</v>
      </c>
      <c r="BB52" s="1">
        <f t="shared" si="91"/>
        <v>53</v>
      </c>
      <c r="BC52" s="1">
        <f t="shared" si="91"/>
        <v>54</v>
      </c>
      <c r="BD52" s="1">
        <f t="shared" si="91"/>
        <v>55</v>
      </c>
      <c r="BE52" s="1">
        <f t="shared" si="91"/>
        <v>56</v>
      </c>
      <c r="BF52" s="1">
        <f t="shared" si="91"/>
        <v>57</v>
      </c>
      <c r="BG52" s="1">
        <f t="shared" si="91"/>
        <v>58</v>
      </c>
      <c r="BH52" s="1">
        <f t="shared" si="91"/>
        <v>59</v>
      </c>
      <c r="BI52" s="1">
        <f t="shared" si="91"/>
        <v>60</v>
      </c>
      <c r="BJ52" s="1">
        <f t="shared" si="91"/>
        <v>61</v>
      </c>
      <c r="BK52" s="1">
        <f t="shared" si="91"/>
        <v>62</v>
      </c>
      <c r="BL52" s="1">
        <f t="shared" si="91"/>
        <v>63</v>
      </c>
      <c r="BM52" s="1">
        <f t="shared" si="91"/>
        <v>64</v>
      </c>
      <c r="BN52" s="1">
        <f t="shared" si="91"/>
        <v>65</v>
      </c>
      <c r="BO52" s="1">
        <f t="shared" si="91"/>
        <v>66</v>
      </c>
      <c r="BP52" s="1">
        <f t="shared" ref="BP52:CH52" si="92">BO52+1</f>
        <v>67</v>
      </c>
      <c r="BQ52" s="1">
        <f t="shared" si="92"/>
        <v>68</v>
      </c>
      <c r="BR52" s="1">
        <f t="shared" si="92"/>
        <v>69</v>
      </c>
      <c r="BS52" s="1">
        <f t="shared" si="92"/>
        <v>70</v>
      </c>
      <c r="BT52" s="1">
        <f t="shared" si="92"/>
        <v>71</v>
      </c>
      <c r="BU52" s="1">
        <f t="shared" si="92"/>
        <v>72</v>
      </c>
      <c r="BV52" s="1">
        <f t="shared" si="92"/>
        <v>73</v>
      </c>
      <c r="BW52" s="1">
        <f t="shared" si="92"/>
        <v>74</v>
      </c>
      <c r="BX52" s="1">
        <f t="shared" si="92"/>
        <v>75</v>
      </c>
      <c r="BY52" s="1">
        <f t="shared" si="92"/>
        <v>76</v>
      </c>
      <c r="BZ52" s="1">
        <f t="shared" si="92"/>
        <v>77</v>
      </c>
      <c r="CA52" s="1">
        <f t="shared" si="92"/>
        <v>78</v>
      </c>
      <c r="CB52" s="1">
        <f t="shared" si="92"/>
        <v>79</v>
      </c>
      <c r="CC52" s="1">
        <f t="shared" si="92"/>
        <v>80</v>
      </c>
      <c r="CD52" s="1">
        <f t="shared" si="92"/>
        <v>81</v>
      </c>
      <c r="CE52" s="1">
        <f t="shared" si="92"/>
        <v>82</v>
      </c>
      <c r="CF52" s="1">
        <f t="shared" si="92"/>
        <v>83</v>
      </c>
      <c r="CG52" s="1">
        <f t="shared" si="92"/>
        <v>84</v>
      </c>
      <c r="CH52" s="1">
        <f t="shared" si="92"/>
        <v>85</v>
      </c>
    </row>
    <row r="53" spans="1:93">
      <c r="CH53" s="42"/>
      <c r="CI53" s="195"/>
      <c r="CJ53" s="196"/>
    </row>
    <row r="54" spans="1:93">
      <c r="CI54" s="195"/>
      <c r="CJ54" s="196"/>
    </row>
    <row r="55" spans="1:93">
      <c r="CI55" s="195"/>
      <c r="CJ55" s="196"/>
    </row>
  </sheetData>
  <sheetProtection sheet="1" objects="1" scenarios="1"/>
  <mergeCells count="10">
    <mergeCell ref="D3:I3"/>
    <mergeCell ref="B9:B11"/>
    <mergeCell ref="A9:A11"/>
    <mergeCell ref="K3:AS3"/>
    <mergeCell ref="BH3:BR3"/>
    <mergeCell ref="BT3:CD3"/>
    <mergeCell ref="CF3:CI3"/>
    <mergeCell ref="AU3:AY3"/>
    <mergeCell ref="AU5:AY5"/>
    <mergeCell ref="BA3:BF3"/>
  </mergeCells>
  <conditionalFormatting sqref="BI12:BI50">
    <cfRule type="cellIs" dxfId="23" priority="6" operator="greaterThan">
      <formula>$BJ$6</formula>
    </cfRule>
  </conditionalFormatting>
  <conditionalFormatting sqref="BQ12:BQ50">
    <cfRule type="cellIs" dxfId="22" priority="9" operator="greaterThan">
      <formula>$BJ$6</formula>
    </cfRule>
  </conditionalFormatting>
  <conditionalFormatting sqref="BR12:BR50 CD12:CE50">
    <cfRule type="cellIs" dxfId="21" priority="10" operator="greaterThan">
      <formula>0</formula>
    </cfRule>
  </conditionalFormatting>
  <conditionalFormatting sqref="CC12:CC50">
    <cfRule type="cellIs" dxfId="20" priority="7" operator="greaterThan">
      <formula>$BJ$6</formula>
    </cfRule>
  </conditionalFormatting>
  <conditionalFormatting sqref="CI12:CI50">
    <cfRule type="cellIs" dxfId="19" priority="4" operator="equal">
      <formula>$BJ$6</formula>
    </cfRule>
    <cfRule type="cellIs" dxfId="18" priority="5" operator="greaterThan">
      <formula>$BJ$6</formula>
    </cfRule>
  </conditionalFormatting>
  <conditionalFormatting sqref="CL12:CL50">
    <cfRule type="cellIs" dxfId="17" priority="3" operator="lessThan">
      <formula>0</formula>
    </cfRule>
  </conditionalFormatting>
  <conditionalFormatting sqref="CN12:CN50">
    <cfRule type="cellIs" dxfId="16" priority="1" operator="greaterThan">
      <formula>1</formula>
    </cfRule>
    <cfRule type="cellIs" dxfId="15" priority="2" operator="lessThan">
      <formula>0</formula>
    </cfRule>
  </conditionalFormatting>
  <printOptions horizontalCentered="1"/>
  <pageMargins left="0.25" right="0.25" top="0.75" bottom="0.75" header="0.3" footer="0.3"/>
  <pageSetup paperSize="17" scale="18" orientation="landscape" r:id="rId1"/>
  <headerFooter alignWithMargins="0">
    <oddFooter>&amp;L&amp;F&amp;R&amp;D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4C5D-D9E2-4F81-ACAE-2D5DE64D7BA1}">
  <sheetPr>
    <pageSetUpPr fitToPage="1"/>
  </sheetPr>
  <dimension ref="A1:T51"/>
  <sheetViews>
    <sheetView zoomScaleNormal="100" workbookViewId="0">
      <selection activeCell="A3" sqref="A1:L1048576"/>
    </sheetView>
  </sheetViews>
  <sheetFormatPr defaultColWidth="9.26953125" defaultRowHeight="16"/>
  <cols>
    <col min="1" max="1" width="46.7265625" style="19" bestFit="1" customWidth="1"/>
    <col min="2" max="4" width="18.7265625" style="22" bestFit="1" customWidth="1"/>
    <col min="5" max="5" width="18.7265625" style="19" bestFit="1" customWidth="1"/>
    <col min="6" max="6" width="21.81640625" style="19" bestFit="1" customWidth="1"/>
    <col min="7" max="7" width="16.453125" style="19" bestFit="1" customWidth="1"/>
    <col min="8" max="8" width="23.81640625" style="165" bestFit="1" customWidth="1"/>
    <col min="9" max="9" width="16.1796875" style="165" customWidth="1"/>
    <col min="10" max="10" width="9.26953125" style="19"/>
    <col min="11" max="11" width="18.54296875" style="19" bestFit="1" customWidth="1"/>
    <col min="12" max="12" width="11" style="19" bestFit="1" customWidth="1"/>
    <col min="13" max="13" width="9.26953125" style="19"/>
    <col min="14" max="14" width="9.1796875" style="19" customWidth="1"/>
    <col min="15" max="15" width="46.7265625" style="19" bestFit="1" customWidth="1"/>
    <col min="16" max="17" width="12.1796875" style="19" customWidth="1"/>
    <col min="18" max="18" width="11.81640625" style="19" bestFit="1" customWidth="1"/>
    <col min="19" max="19" width="11.7265625" style="19" customWidth="1"/>
    <col min="20" max="16384" width="9.26953125" style="19"/>
  </cols>
  <sheetData>
    <row r="1" spans="1:19">
      <c r="A1" s="212" t="s">
        <v>124</v>
      </c>
      <c r="B1" s="213" t="s">
        <v>144</v>
      </c>
      <c r="C1" s="213" t="s">
        <v>145</v>
      </c>
      <c r="D1" s="213" t="s">
        <v>146</v>
      </c>
      <c r="E1" s="213" t="s">
        <v>147</v>
      </c>
      <c r="F1" s="212" t="s">
        <v>14</v>
      </c>
      <c r="G1" s="215" t="s">
        <v>142</v>
      </c>
      <c r="H1" s="215" t="s">
        <v>143</v>
      </c>
      <c r="I1" s="269" t="s">
        <v>195</v>
      </c>
      <c r="K1" s="203" t="s">
        <v>163</v>
      </c>
      <c r="L1" s="203" t="s">
        <v>162</v>
      </c>
      <c r="P1" s="23"/>
      <c r="Q1" s="23"/>
    </row>
    <row r="2" spans="1:19">
      <c r="A2" s="208" t="s">
        <v>75</v>
      </c>
      <c r="B2" s="200">
        <v>97489</v>
      </c>
      <c r="C2" s="200">
        <v>121717</v>
      </c>
      <c r="D2" s="200">
        <v>124617</v>
      </c>
      <c r="E2" s="200">
        <v>130218</v>
      </c>
      <c r="F2" s="201" t="s">
        <v>74</v>
      </c>
      <c r="G2">
        <v>1</v>
      </c>
      <c r="H2">
        <v>1</v>
      </c>
      <c r="I2" s="270">
        <f>AVERAGE(Ridership[[#This Row],[FY23 Ridership]:[FY25 Ridership]])</f>
        <v>125517.33333333333</v>
      </c>
      <c r="K2" s="235">
        <f>Ridership[[#This Row],[FY25 Ridership]]-Ridership[[#This Row],[FY24 Ridership]]</f>
        <v>5601</v>
      </c>
      <c r="L2" s="236">
        <f>K2/Ridership[[#This Row],[FY24 Ridership]]</f>
        <v>4.4945713666674693E-2</v>
      </c>
      <c r="O2" s="238"/>
      <c r="P2" s="239"/>
      <c r="Q2" s="239"/>
      <c r="R2" s="244"/>
      <c r="S2" s="239"/>
    </row>
    <row r="3" spans="1:19">
      <c r="A3" s="208" t="s">
        <v>76</v>
      </c>
      <c r="B3" s="200">
        <v>35313</v>
      </c>
      <c r="C3" s="200">
        <v>43762</v>
      </c>
      <c r="D3" s="200">
        <v>42876</v>
      </c>
      <c r="E3" s="200">
        <v>43130</v>
      </c>
      <c r="F3" s="201" t="s">
        <v>74</v>
      </c>
      <c r="G3">
        <v>2</v>
      </c>
      <c r="H3">
        <v>5</v>
      </c>
      <c r="I3" s="270">
        <f>AVERAGE(Ridership[[#This Row],[FY23 Ridership]:[FY25 Ridership]])</f>
        <v>43256</v>
      </c>
      <c r="K3" s="235">
        <f>Ridership[[#This Row],[FY25 Ridership]]-Ridership[[#This Row],[FY24 Ridership]]</f>
        <v>254</v>
      </c>
      <c r="L3" s="236">
        <f>K3/Ridership[[#This Row],[FY24 Ridership]]</f>
        <v>5.924060080231365E-3</v>
      </c>
      <c r="O3" s="238"/>
      <c r="P3" s="239"/>
      <c r="Q3" s="239"/>
      <c r="R3" s="244"/>
      <c r="S3" s="239"/>
    </row>
    <row r="4" spans="1:19">
      <c r="A4" s="208" t="s">
        <v>77</v>
      </c>
      <c r="B4" s="200">
        <v>135181</v>
      </c>
      <c r="C4" s="200">
        <v>162649</v>
      </c>
      <c r="D4" s="200">
        <v>177659</v>
      </c>
      <c r="E4" s="200">
        <v>180698</v>
      </c>
      <c r="F4" s="201" t="s">
        <v>74</v>
      </c>
      <c r="G4">
        <v>3</v>
      </c>
      <c r="H4">
        <v>13</v>
      </c>
      <c r="I4" s="270">
        <f>AVERAGE(Ridership[[#This Row],[FY23 Ridership]:[FY25 Ridership]])</f>
        <v>173668.66666666666</v>
      </c>
      <c r="K4" s="235">
        <f>Ridership[[#This Row],[FY25 Ridership]]-Ridership[[#This Row],[FY24 Ridership]]</f>
        <v>3039</v>
      </c>
      <c r="L4" s="236">
        <f>K4/Ridership[[#This Row],[FY24 Ridership]]</f>
        <v>1.7105803815174014E-2</v>
      </c>
      <c r="O4" s="238"/>
      <c r="P4" s="239"/>
      <c r="Q4" s="239"/>
      <c r="R4" s="244"/>
      <c r="S4" s="239"/>
    </row>
    <row r="5" spans="1:19">
      <c r="A5" s="208" t="s">
        <v>78</v>
      </c>
      <c r="B5" s="200">
        <v>100658</v>
      </c>
      <c r="C5" s="200">
        <v>131743</v>
      </c>
      <c r="D5" s="200">
        <v>130896</v>
      </c>
      <c r="E5" s="200">
        <v>130587</v>
      </c>
      <c r="F5" s="201" t="s">
        <v>74</v>
      </c>
      <c r="G5">
        <v>4</v>
      </c>
      <c r="H5">
        <v>23</v>
      </c>
      <c r="I5" s="270">
        <f>AVERAGE(Ridership[[#This Row],[FY23 Ridership]:[FY25 Ridership]])</f>
        <v>131075.33333333334</v>
      </c>
      <c r="K5" s="235">
        <f>Ridership[[#This Row],[FY25 Ridership]]-Ridership[[#This Row],[FY24 Ridership]]</f>
        <v>-309</v>
      </c>
      <c r="L5" s="236">
        <f>K5/Ridership[[#This Row],[FY24 Ridership]]</f>
        <v>-2.3606527319398607E-3</v>
      </c>
      <c r="O5" s="238"/>
      <c r="P5" s="239"/>
      <c r="Q5" s="239"/>
      <c r="R5" s="244"/>
      <c r="S5" s="239"/>
    </row>
    <row r="6" spans="1:19">
      <c r="A6" s="208" t="s">
        <v>79</v>
      </c>
      <c r="B6" s="200">
        <v>29128</v>
      </c>
      <c r="C6" s="200">
        <v>31171</v>
      </c>
      <c r="D6" s="200">
        <v>33235</v>
      </c>
      <c r="E6" s="200">
        <v>31857</v>
      </c>
      <c r="F6" s="201" t="s">
        <v>74</v>
      </c>
      <c r="G6">
        <v>5</v>
      </c>
      <c r="H6">
        <v>36</v>
      </c>
      <c r="I6" s="270">
        <f>AVERAGE(Ridership[[#This Row],[FY23 Ridership]:[FY25 Ridership]])</f>
        <v>32087.666666666668</v>
      </c>
      <c r="K6" s="235">
        <f>Ridership[[#This Row],[FY25 Ridership]]-Ridership[[#This Row],[FY24 Ridership]]</f>
        <v>-1378</v>
      </c>
      <c r="L6" s="236">
        <f>K6/Ridership[[#This Row],[FY24 Ridership]]</f>
        <v>-4.1462313825786072E-2</v>
      </c>
      <c r="O6" s="238"/>
      <c r="P6" s="239"/>
      <c r="Q6" s="239"/>
      <c r="R6" s="244"/>
      <c r="S6" s="239"/>
    </row>
    <row r="7" spans="1:19">
      <c r="A7" s="208" t="s">
        <v>81</v>
      </c>
      <c r="B7" s="227">
        <v>1236545</v>
      </c>
      <c r="C7" s="227">
        <v>1244671</v>
      </c>
      <c r="D7" s="227">
        <v>1476869</v>
      </c>
      <c r="E7" s="200">
        <v>1552117</v>
      </c>
      <c r="F7" s="201" t="s">
        <v>80</v>
      </c>
      <c r="G7">
        <v>6</v>
      </c>
      <c r="H7">
        <v>4</v>
      </c>
      <c r="I7" s="270">
        <f>AVERAGE(Ridership[[#This Row],[FY23 Ridership]:[FY25 Ridership]])</f>
        <v>1424552.3333333333</v>
      </c>
      <c r="K7" s="235">
        <f>Ridership[[#This Row],[FY25 Ridership]]-Ridership[[#This Row],[FY24 Ridership]]</f>
        <v>75248</v>
      </c>
      <c r="L7" s="236">
        <f>K7/Ridership[[#This Row],[FY24 Ridership]]</f>
        <v>5.0951032217481713E-2</v>
      </c>
      <c r="O7" s="238"/>
      <c r="P7" s="239"/>
      <c r="Q7" s="239"/>
      <c r="R7" s="244"/>
      <c r="S7" s="239"/>
    </row>
    <row r="8" spans="1:19">
      <c r="A8" s="208" t="s">
        <v>166</v>
      </c>
      <c r="B8" s="202">
        <v>179874</v>
      </c>
      <c r="C8" s="202">
        <v>288349</v>
      </c>
      <c r="D8" s="202">
        <v>332441</v>
      </c>
      <c r="E8" s="200">
        <v>323706</v>
      </c>
      <c r="F8" s="201" t="s">
        <v>82</v>
      </c>
      <c r="G8">
        <v>7</v>
      </c>
      <c r="H8">
        <v>15</v>
      </c>
      <c r="I8" s="270">
        <f>AVERAGE(Ridership[[#This Row],[FY23 Ridership]:[FY25 Ridership]])</f>
        <v>314832</v>
      </c>
      <c r="K8" s="235">
        <f>Ridership[[#This Row],[FY25 Ridership]]-Ridership[[#This Row],[FY24 Ridership]]</f>
        <v>-8735</v>
      </c>
      <c r="L8" s="236">
        <f>K8/Ridership[[#This Row],[FY24 Ridership]]</f>
        <v>-2.6275339082724454E-2</v>
      </c>
      <c r="O8" s="238"/>
      <c r="P8" s="239"/>
      <c r="Q8" s="239"/>
      <c r="R8" s="244"/>
      <c r="S8" s="239"/>
    </row>
    <row r="9" spans="1:19">
      <c r="A9" s="208" t="s">
        <v>85</v>
      </c>
      <c r="B9" s="202">
        <v>75266</v>
      </c>
      <c r="C9" s="202">
        <v>75077</v>
      </c>
      <c r="D9" s="202">
        <v>77878</v>
      </c>
      <c r="E9" s="200">
        <v>89631</v>
      </c>
      <c r="F9" s="201" t="s">
        <v>84</v>
      </c>
      <c r="G9">
        <v>8</v>
      </c>
      <c r="H9">
        <v>9</v>
      </c>
      <c r="I9" s="270">
        <f>AVERAGE(Ridership[[#This Row],[FY23 Ridership]:[FY25 Ridership]])</f>
        <v>80862</v>
      </c>
      <c r="K9" s="235">
        <f>Ridership[[#This Row],[FY25 Ridership]]-Ridership[[#This Row],[FY24 Ridership]]</f>
        <v>11753</v>
      </c>
      <c r="L9" s="236">
        <f>K9/Ridership[[#This Row],[FY24 Ridership]]</f>
        <v>0.15091553455404608</v>
      </c>
      <c r="O9" s="238"/>
      <c r="P9" s="239"/>
      <c r="Q9" s="239"/>
      <c r="R9" s="244"/>
      <c r="S9" s="239"/>
    </row>
    <row r="10" spans="1:19">
      <c r="A10" s="208" t="s">
        <v>86</v>
      </c>
      <c r="B10" s="202">
        <v>5437</v>
      </c>
      <c r="C10" s="202">
        <v>10861</v>
      </c>
      <c r="D10" s="202">
        <v>11821</v>
      </c>
      <c r="E10" s="200">
        <v>11743</v>
      </c>
      <c r="F10" s="201" t="s">
        <v>84</v>
      </c>
      <c r="G10">
        <v>9</v>
      </c>
      <c r="H10">
        <v>19</v>
      </c>
      <c r="I10" s="270">
        <f>AVERAGE(Ridership[[#This Row],[FY23 Ridership]:[FY25 Ridership]])</f>
        <v>11475</v>
      </c>
      <c r="K10" s="235">
        <f>Ridership[[#This Row],[FY25 Ridership]]-Ridership[[#This Row],[FY24 Ridership]]</f>
        <v>-78</v>
      </c>
      <c r="L10" s="236">
        <f>K10/Ridership[[#This Row],[FY24 Ridership]]</f>
        <v>-6.5984265290584551E-3</v>
      </c>
      <c r="O10" s="238"/>
      <c r="P10" s="239"/>
      <c r="Q10" s="239"/>
      <c r="R10" s="244"/>
      <c r="S10" s="239"/>
    </row>
    <row r="11" spans="1:19">
      <c r="A11" s="208" t="s">
        <v>87</v>
      </c>
      <c r="B11" s="202">
        <v>6381801</v>
      </c>
      <c r="C11" s="202">
        <v>7133773</v>
      </c>
      <c r="D11" s="202">
        <v>8574727</v>
      </c>
      <c r="E11" s="200">
        <v>9363208</v>
      </c>
      <c r="F11" s="201" t="s">
        <v>84</v>
      </c>
      <c r="G11">
        <v>10</v>
      </c>
      <c r="H11">
        <v>20</v>
      </c>
      <c r="I11" s="270">
        <f>AVERAGE(Ridership[[#This Row],[FY23 Ridership]:[FY25 Ridership]])</f>
        <v>8357236</v>
      </c>
      <c r="K11" s="235">
        <f>Ridership[[#This Row],[FY25 Ridership]]-Ridership[[#This Row],[FY24 Ridership]]</f>
        <v>788481</v>
      </c>
      <c r="L11" s="236">
        <f>K11/Ridership[[#This Row],[FY24 Ridership]]</f>
        <v>9.1954064543395955E-2</v>
      </c>
      <c r="O11" s="238"/>
      <c r="P11" s="239"/>
      <c r="Q11" s="239"/>
      <c r="R11" s="244"/>
      <c r="S11" s="239"/>
    </row>
    <row r="12" spans="1:19">
      <c r="A12" s="208" t="s">
        <v>88</v>
      </c>
      <c r="B12" s="202">
        <v>63727</v>
      </c>
      <c r="C12" s="202">
        <v>91713</v>
      </c>
      <c r="D12" s="202">
        <v>101901</v>
      </c>
      <c r="E12" s="200">
        <v>98845</v>
      </c>
      <c r="F12" s="201" t="s">
        <v>84</v>
      </c>
      <c r="G12">
        <v>11</v>
      </c>
      <c r="H12">
        <v>31</v>
      </c>
      <c r="I12" s="270">
        <f>AVERAGE(Ridership[[#This Row],[FY23 Ridership]:[FY25 Ridership]])</f>
        <v>97486.333333333328</v>
      </c>
      <c r="K12" s="235">
        <f>Ridership[[#This Row],[FY25 Ridership]]-Ridership[[#This Row],[FY24 Ridership]]</f>
        <v>-3056</v>
      </c>
      <c r="L12" s="236">
        <f>K12/Ridership[[#This Row],[FY24 Ridership]]</f>
        <v>-2.9989892150224236E-2</v>
      </c>
      <c r="O12" s="238"/>
      <c r="P12" s="239"/>
      <c r="Q12" s="239"/>
      <c r="R12" s="244"/>
      <c r="S12" s="239"/>
    </row>
    <row r="13" spans="1:19">
      <c r="A13" s="208" t="s">
        <v>89</v>
      </c>
      <c r="B13" s="202">
        <v>3001</v>
      </c>
      <c r="C13" s="202">
        <v>3145</v>
      </c>
      <c r="D13" s="202">
        <v>6243</v>
      </c>
      <c r="E13" s="200">
        <v>6249</v>
      </c>
      <c r="F13" s="201" t="s">
        <v>84</v>
      </c>
      <c r="G13">
        <v>12</v>
      </c>
      <c r="H13">
        <v>37</v>
      </c>
      <c r="I13" s="270">
        <f>AVERAGE(Ridership[[#This Row],[FY23 Ridership]:[FY25 Ridership]])</f>
        <v>5212.333333333333</v>
      </c>
      <c r="K13" s="235">
        <f>Ridership[[#This Row],[FY25 Ridership]]-Ridership[[#This Row],[FY24 Ridership]]</f>
        <v>6</v>
      </c>
      <c r="L13" s="236">
        <f>K13/Ridership[[#This Row],[FY24 Ridership]]</f>
        <v>9.6107640557424319E-4</v>
      </c>
      <c r="O13" s="238"/>
      <c r="P13" s="239"/>
      <c r="Q13" s="239"/>
      <c r="R13" s="244"/>
      <c r="S13" s="239"/>
    </row>
    <row r="14" spans="1:19">
      <c r="A14" s="208" t="s">
        <v>90</v>
      </c>
      <c r="B14" s="202">
        <v>1544283</v>
      </c>
      <c r="C14" s="202">
        <v>1655082</v>
      </c>
      <c r="D14" s="202">
        <v>1423486</v>
      </c>
      <c r="E14" s="200">
        <v>1578514</v>
      </c>
      <c r="F14" s="201" t="s">
        <v>84</v>
      </c>
      <c r="G14">
        <v>13</v>
      </c>
      <c r="H14">
        <v>39</v>
      </c>
      <c r="I14" s="270">
        <f>AVERAGE(Ridership[[#This Row],[FY23 Ridership]:[FY25 Ridership]])</f>
        <v>1552360.6666666667</v>
      </c>
      <c r="K14" s="235">
        <f>Ridership[[#This Row],[FY25 Ridership]]-Ridership[[#This Row],[FY24 Ridership]]</f>
        <v>155028</v>
      </c>
      <c r="L14" s="236">
        <f>K14/Ridership[[#This Row],[FY24 Ridership]]</f>
        <v>0.10890728816440766</v>
      </c>
      <c r="O14" s="238"/>
      <c r="P14" s="239"/>
      <c r="Q14" s="239"/>
      <c r="R14" s="244"/>
      <c r="S14" s="239"/>
    </row>
    <row r="15" spans="1:19">
      <c r="A15" s="208" t="s">
        <v>92</v>
      </c>
      <c r="B15" s="202">
        <v>228559</v>
      </c>
      <c r="C15" s="202">
        <v>235586</v>
      </c>
      <c r="D15" s="202">
        <v>259346</v>
      </c>
      <c r="E15" s="200">
        <v>242131</v>
      </c>
      <c r="F15" s="201" t="s">
        <v>91</v>
      </c>
      <c r="G15">
        <v>14</v>
      </c>
      <c r="H15">
        <v>12</v>
      </c>
      <c r="I15" s="270">
        <f>AVERAGE(Ridership[[#This Row],[FY23 Ridership]:[FY25 Ridership]])</f>
        <v>245687.66666666666</v>
      </c>
      <c r="K15" s="235">
        <f>Ridership[[#This Row],[FY25 Ridership]]-Ridership[[#This Row],[FY24 Ridership]]</f>
        <v>-17215</v>
      </c>
      <c r="L15" s="236">
        <f>K15/Ridership[[#This Row],[FY24 Ridership]]</f>
        <v>-6.6378505934157464E-2</v>
      </c>
      <c r="O15" s="238"/>
      <c r="P15" s="239"/>
      <c r="Q15" s="239"/>
      <c r="R15" s="244"/>
      <c r="S15" s="239"/>
    </row>
    <row r="16" spans="1:19">
      <c r="A16" s="208" t="s">
        <v>93</v>
      </c>
      <c r="B16" s="202">
        <v>77681</v>
      </c>
      <c r="C16" s="202">
        <v>90145</v>
      </c>
      <c r="D16" s="202">
        <v>96178</v>
      </c>
      <c r="E16" s="200">
        <v>101678</v>
      </c>
      <c r="F16" s="201" t="s">
        <v>91</v>
      </c>
      <c r="G16">
        <v>15</v>
      </c>
      <c r="H16">
        <v>14</v>
      </c>
      <c r="I16" s="270">
        <f>AVERAGE(Ridership[[#This Row],[FY23 Ridership]:[FY25 Ridership]])</f>
        <v>96000.333333333328</v>
      </c>
      <c r="K16" s="235">
        <f>Ridership[[#This Row],[FY25 Ridership]]-Ridership[[#This Row],[FY24 Ridership]]</f>
        <v>5500</v>
      </c>
      <c r="L16" s="236">
        <f>K16/Ridership[[#This Row],[FY24 Ridership]]</f>
        <v>5.7185634968495914E-2</v>
      </c>
      <c r="O16" s="238"/>
      <c r="P16" s="239"/>
      <c r="Q16" s="239"/>
      <c r="R16" s="244"/>
      <c r="S16" s="239"/>
    </row>
    <row r="17" spans="1:20">
      <c r="A17" s="208" t="s">
        <v>94</v>
      </c>
      <c r="B17" s="202">
        <v>445943</v>
      </c>
      <c r="C17" s="202">
        <v>519342</v>
      </c>
      <c r="D17" s="202">
        <v>585649</v>
      </c>
      <c r="E17" s="200">
        <v>704093</v>
      </c>
      <c r="F17" s="201" t="s">
        <v>91</v>
      </c>
      <c r="G17">
        <v>16</v>
      </c>
      <c r="H17">
        <v>16</v>
      </c>
      <c r="I17" s="270">
        <f>AVERAGE(Ridership[[#This Row],[FY23 Ridership]:[FY25 Ridership]])</f>
        <v>603028</v>
      </c>
      <c r="K17" s="235">
        <f>Ridership[[#This Row],[FY25 Ridership]]-Ridership[[#This Row],[FY24 Ridership]]</f>
        <v>118444</v>
      </c>
      <c r="L17" s="236">
        <f>K17/Ridership[[#This Row],[FY24 Ridership]]</f>
        <v>0.20224400622215696</v>
      </c>
      <c r="O17" s="238"/>
      <c r="P17" s="239"/>
      <c r="Q17" s="239"/>
      <c r="R17" s="244"/>
      <c r="S17" s="239"/>
    </row>
    <row r="18" spans="1:20">
      <c r="A18" s="208" t="s">
        <v>95</v>
      </c>
      <c r="B18" s="200">
        <v>14878</v>
      </c>
      <c r="C18" s="200">
        <v>14298</v>
      </c>
      <c r="D18" s="200">
        <v>15318</v>
      </c>
      <c r="E18" s="200">
        <v>15947</v>
      </c>
      <c r="F18" s="201" t="s">
        <v>91</v>
      </c>
      <c r="G18">
        <v>17</v>
      </c>
      <c r="H18">
        <v>32</v>
      </c>
      <c r="I18" s="270">
        <f>AVERAGE(Ridership[[#This Row],[FY23 Ridership]:[FY25 Ridership]])</f>
        <v>15187.666666666666</v>
      </c>
      <c r="K18" s="235">
        <f>Ridership[[#This Row],[FY25 Ridership]]-Ridership[[#This Row],[FY24 Ridership]]</f>
        <v>629</v>
      </c>
      <c r="L18" s="236">
        <f>K18/Ridership[[#This Row],[FY24 Ridership]]</f>
        <v>4.1062801932367152E-2</v>
      </c>
      <c r="O18" s="238"/>
      <c r="P18" s="239"/>
      <c r="Q18" s="239"/>
      <c r="R18" s="244"/>
      <c r="S18" s="239"/>
    </row>
    <row r="19" spans="1:20">
      <c r="A19" s="208" t="s">
        <v>165</v>
      </c>
      <c r="B19" s="202">
        <v>421563</v>
      </c>
      <c r="C19" s="202">
        <v>527426</v>
      </c>
      <c r="D19" s="202">
        <v>690676</v>
      </c>
      <c r="E19" s="200">
        <v>819623</v>
      </c>
      <c r="F19" s="201" t="s">
        <v>96</v>
      </c>
      <c r="G19">
        <v>18</v>
      </c>
      <c r="H19">
        <v>11</v>
      </c>
      <c r="I19" s="270">
        <f>AVERAGE(Ridership[[#This Row],[FY23 Ridership]:[FY25 Ridership]])</f>
        <v>679241.66666666663</v>
      </c>
      <c r="K19" s="235">
        <f>Ridership[[#This Row],[FY25 Ridership]]-Ridership[[#This Row],[FY24 Ridership]]</f>
        <v>128947</v>
      </c>
      <c r="L19" s="236">
        <f>K19/Ridership[[#This Row],[FY24 Ridership]]</f>
        <v>0.18669680139457576</v>
      </c>
      <c r="O19" s="238"/>
      <c r="P19" s="239"/>
      <c r="Q19" s="239"/>
      <c r="R19" s="244"/>
      <c r="S19" s="239"/>
    </row>
    <row r="20" spans="1:20">
      <c r="A20" s="208" t="s">
        <v>98</v>
      </c>
      <c r="B20" s="202">
        <v>1815957</v>
      </c>
      <c r="C20" s="202">
        <v>2106063</v>
      </c>
      <c r="D20" s="202">
        <v>2458738</v>
      </c>
      <c r="E20" s="200">
        <v>2640152</v>
      </c>
      <c r="F20" s="201" t="s">
        <v>96</v>
      </c>
      <c r="G20">
        <v>19</v>
      </c>
      <c r="H20">
        <v>24</v>
      </c>
      <c r="I20" s="270">
        <f>AVERAGE(Ridership[[#This Row],[FY23 Ridership]:[FY25 Ridership]])</f>
        <v>2401651</v>
      </c>
      <c r="K20" s="235">
        <f>Ridership[[#This Row],[FY25 Ridership]]-Ridership[[#This Row],[FY24 Ridership]]</f>
        <v>181414</v>
      </c>
      <c r="L20" s="236">
        <f>K20/Ridership[[#This Row],[FY24 Ridership]]</f>
        <v>7.3783379929053039E-2</v>
      </c>
      <c r="O20" s="238"/>
      <c r="P20" s="239"/>
      <c r="Q20" s="239"/>
      <c r="R20" s="244"/>
      <c r="S20" s="239"/>
    </row>
    <row r="21" spans="1:20">
      <c r="A21" s="208" t="s">
        <v>99</v>
      </c>
      <c r="B21" s="202">
        <v>3047077</v>
      </c>
      <c r="C21" s="202">
        <v>4580046</v>
      </c>
      <c r="D21" s="202">
        <v>5351810</v>
      </c>
      <c r="E21" s="200">
        <v>5758247</v>
      </c>
      <c r="F21" s="201" t="s">
        <v>96</v>
      </c>
      <c r="G21">
        <v>20</v>
      </c>
      <c r="H21">
        <v>25</v>
      </c>
      <c r="I21" s="270">
        <f>AVERAGE(Ridership[[#This Row],[FY23 Ridership]:[FY25 Ridership]])</f>
        <v>5230034.333333333</v>
      </c>
      <c r="K21" s="235">
        <f>Ridership[[#This Row],[FY25 Ridership]]-Ridership[[#This Row],[FY24 Ridership]]</f>
        <v>406437</v>
      </c>
      <c r="L21" s="236">
        <f>K21/Ridership[[#This Row],[FY24 Ridership]]</f>
        <v>7.5943839560821486E-2</v>
      </c>
      <c r="O21" s="238"/>
      <c r="P21" s="239"/>
      <c r="Q21" s="239"/>
      <c r="R21" s="244"/>
      <c r="S21" s="239"/>
    </row>
    <row r="22" spans="1:20">
      <c r="A22" s="208" t="s">
        <v>100</v>
      </c>
      <c r="B22" s="202">
        <v>471899</v>
      </c>
      <c r="C22" s="202">
        <v>847511</v>
      </c>
      <c r="D22" s="202">
        <v>1002134</v>
      </c>
      <c r="E22" s="200">
        <v>949010</v>
      </c>
      <c r="F22" s="201" t="s">
        <v>96</v>
      </c>
      <c r="G22">
        <v>21</v>
      </c>
      <c r="H22">
        <v>26</v>
      </c>
      <c r="I22" s="270">
        <f>AVERAGE(Ridership[[#This Row],[FY23 Ridership]:[FY25 Ridership]])</f>
        <v>932885</v>
      </c>
      <c r="K22" s="235">
        <f>Ridership[[#This Row],[FY25 Ridership]]-Ridership[[#This Row],[FY24 Ridership]]</f>
        <v>-53124</v>
      </c>
      <c r="L22" s="236">
        <f>K22/Ridership[[#This Row],[FY24 Ridership]]</f>
        <v>-5.3010874793191332E-2</v>
      </c>
      <c r="O22" s="238"/>
      <c r="P22" s="239"/>
      <c r="Q22" s="239"/>
      <c r="R22" s="244"/>
      <c r="S22" s="239"/>
      <c r="T22" s="245"/>
    </row>
    <row r="23" spans="1:20">
      <c r="A23" s="208" t="s">
        <v>101</v>
      </c>
      <c r="B23" s="202">
        <v>5191499</v>
      </c>
      <c r="C23" s="202">
        <v>8365287</v>
      </c>
      <c r="D23" s="202">
        <v>8721363</v>
      </c>
      <c r="E23" s="200">
        <v>9687227</v>
      </c>
      <c r="F23" s="201" t="s">
        <v>96</v>
      </c>
      <c r="G23">
        <v>22</v>
      </c>
      <c r="H23">
        <v>27</v>
      </c>
      <c r="I23" s="270">
        <f>AVERAGE(Ridership[[#This Row],[FY23 Ridership]:[FY25 Ridership]])</f>
        <v>8924625.666666666</v>
      </c>
      <c r="K23" s="235">
        <f>Ridership[[#This Row],[FY25 Ridership]]-Ridership[[#This Row],[FY24 Ridership]]</f>
        <v>965864</v>
      </c>
      <c r="L23" s="236">
        <f>K23/Ridership[[#This Row],[FY24 Ridership]]</f>
        <v>0.11074690962868992</v>
      </c>
      <c r="O23" s="238"/>
      <c r="P23" s="239"/>
      <c r="Q23" s="239"/>
      <c r="R23" s="244"/>
      <c r="S23" s="239"/>
    </row>
    <row r="24" spans="1:20">
      <c r="A24" s="208" t="s">
        <v>102</v>
      </c>
      <c r="B24" s="202">
        <v>1220283</v>
      </c>
      <c r="C24" s="227">
        <v>1582491</v>
      </c>
      <c r="D24" s="202">
        <v>1972474</v>
      </c>
      <c r="E24" s="200">
        <v>2342487</v>
      </c>
      <c r="F24" s="201" t="s">
        <v>96</v>
      </c>
      <c r="G24">
        <v>23</v>
      </c>
      <c r="H24">
        <v>28</v>
      </c>
      <c r="I24" s="270">
        <f>AVERAGE(Ridership[[#This Row],[FY23 Ridership]:[FY25 Ridership]])</f>
        <v>1965817.3333333333</v>
      </c>
      <c r="K24" s="235">
        <f>Ridership[[#This Row],[FY25 Ridership]]-Ridership[[#This Row],[FY24 Ridership]]</f>
        <v>370013</v>
      </c>
      <c r="L24" s="236">
        <f>K24/Ridership[[#This Row],[FY24 Ridership]]</f>
        <v>0.18758827746271942</v>
      </c>
      <c r="O24" s="238"/>
      <c r="P24" s="239"/>
      <c r="Q24" s="239"/>
      <c r="R24" s="244"/>
      <c r="S24" s="239"/>
    </row>
    <row r="25" spans="1:20">
      <c r="A25" s="208" t="s">
        <v>104</v>
      </c>
      <c r="B25" s="202">
        <v>404081</v>
      </c>
      <c r="C25" s="202">
        <v>475942</v>
      </c>
      <c r="D25" s="202">
        <v>471466</v>
      </c>
      <c r="E25" s="200">
        <v>511726</v>
      </c>
      <c r="F25" s="201" t="s">
        <v>103</v>
      </c>
      <c r="G25">
        <v>24</v>
      </c>
      <c r="H25">
        <v>7</v>
      </c>
      <c r="I25" s="270">
        <f>AVERAGE(Ridership[[#This Row],[FY23 Ridership]:[FY25 Ridership]])</f>
        <v>486378</v>
      </c>
      <c r="K25" s="235">
        <f>Ridership[[#This Row],[FY25 Ridership]]-Ridership[[#This Row],[FY24 Ridership]]</f>
        <v>40260</v>
      </c>
      <c r="L25" s="236">
        <f>K25/Ridership[[#This Row],[FY24 Ridership]]</f>
        <v>8.5393220295843175E-2</v>
      </c>
      <c r="O25" s="238"/>
      <c r="P25" s="239"/>
      <c r="Q25" s="239"/>
      <c r="R25" s="244"/>
      <c r="S25" s="239"/>
    </row>
    <row r="26" spans="1:20">
      <c r="A26" s="208" t="s">
        <v>105</v>
      </c>
      <c r="B26" s="202">
        <v>8838099</v>
      </c>
      <c r="C26" s="202">
        <v>9625071</v>
      </c>
      <c r="D26" s="202">
        <v>10824111</v>
      </c>
      <c r="E26" s="200">
        <v>12101467</v>
      </c>
      <c r="F26" s="201" t="s">
        <v>103</v>
      </c>
      <c r="G26">
        <v>25</v>
      </c>
      <c r="H26">
        <v>17</v>
      </c>
      <c r="I26" s="270">
        <f>AVERAGE(Ridership[[#This Row],[FY23 Ridership]:[FY25 Ridership]])</f>
        <v>10850216.333333334</v>
      </c>
      <c r="K26" s="235">
        <f>Ridership[[#This Row],[FY25 Ridership]]-Ridership[[#This Row],[FY24 Ridership]]</f>
        <v>1277356</v>
      </c>
      <c r="L26" s="236">
        <f>K26/Ridership[[#This Row],[FY24 Ridership]]</f>
        <v>0.11801024582988848</v>
      </c>
      <c r="O26" s="238"/>
      <c r="P26" s="239"/>
      <c r="Q26" s="239"/>
      <c r="R26" s="244"/>
      <c r="S26" s="239"/>
    </row>
    <row r="27" spans="1:20">
      <c r="A27" s="208" t="s">
        <v>173</v>
      </c>
      <c r="B27" s="200">
        <v>0</v>
      </c>
      <c r="C27" s="202">
        <v>4010</v>
      </c>
      <c r="D27" s="202">
        <v>6669</v>
      </c>
      <c r="E27" s="200">
        <v>7175</v>
      </c>
      <c r="F27" s="201" t="s">
        <v>106</v>
      </c>
      <c r="G27">
        <v>26</v>
      </c>
      <c r="H27">
        <v>33</v>
      </c>
      <c r="I27" s="270">
        <f>AVERAGE(Ridership[[#This Row],[FY23 Ridership]:[FY25 Ridership]])</f>
        <v>5951.333333333333</v>
      </c>
      <c r="K27" s="235">
        <f>Ridership[[#This Row],[FY25 Ridership]]-Ridership[[#This Row],[FY24 Ridership]]</f>
        <v>506</v>
      </c>
      <c r="L27" s="236">
        <f>K27/Ridership[[#This Row],[FY24 Ridership]]</f>
        <v>7.5873444294496925E-2</v>
      </c>
      <c r="O27" s="238"/>
      <c r="P27" s="239"/>
      <c r="Q27" s="239"/>
      <c r="R27" s="244"/>
      <c r="S27" s="239"/>
    </row>
    <row r="28" spans="1:20">
      <c r="A28" s="208" t="s">
        <v>170</v>
      </c>
      <c r="B28" s="202">
        <v>3267836</v>
      </c>
      <c r="C28" s="202">
        <v>3520078</v>
      </c>
      <c r="D28" s="202">
        <v>3791431</v>
      </c>
      <c r="E28" s="200">
        <v>4783530</v>
      </c>
      <c r="F28" s="201" t="s">
        <v>106</v>
      </c>
      <c r="G28">
        <v>27</v>
      </c>
      <c r="H28">
        <v>34</v>
      </c>
      <c r="I28" s="270">
        <f>AVERAGE(Ridership[[#This Row],[FY23 Ridership]:[FY25 Ridership]])</f>
        <v>4031679.6666666665</v>
      </c>
      <c r="K28" s="235">
        <f>Ridership[[#This Row],[FY25 Ridership]]-Ridership[[#This Row],[FY24 Ridership]]</f>
        <v>992099</v>
      </c>
      <c r="L28" s="236">
        <f>K28/Ridership[[#This Row],[FY24 Ridership]]</f>
        <v>0.26166874723554245</v>
      </c>
      <c r="O28" s="238"/>
      <c r="P28" s="239"/>
      <c r="Q28" s="239"/>
      <c r="R28" s="244"/>
      <c r="S28" s="239"/>
    </row>
    <row r="29" spans="1:20">
      <c r="A29" s="208" t="s">
        <v>108</v>
      </c>
      <c r="B29" s="202">
        <v>125489</v>
      </c>
      <c r="C29" s="202">
        <v>120233</v>
      </c>
      <c r="D29" s="202">
        <v>90833</v>
      </c>
      <c r="E29" s="200">
        <v>140253</v>
      </c>
      <c r="F29" s="201" t="s">
        <v>106</v>
      </c>
      <c r="G29">
        <v>28</v>
      </c>
      <c r="H29">
        <v>8</v>
      </c>
      <c r="I29" s="270">
        <f>AVERAGE(Ridership[[#This Row],[FY23 Ridership]:[FY25 Ridership]])</f>
        <v>117106.33333333333</v>
      </c>
      <c r="K29" s="235">
        <f>Ridership[[#This Row],[FY25 Ridership]]-Ridership[[#This Row],[FY24 Ridership]]</f>
        <v>49420</v>
      </c>
      <c r="L29" s="236">
        <f>K29/Ridership[[#This Row],[FY24 Ridership]]</f>
        <v>0.5440753911023527</v>
      </c>
      <c r="O29" s="238"/>
      <c r="P29" s="239"/>
      <c r="Q29" s="239"/>
      <c r="R29" s="244"/>
      <c r="S29" s="239"/>
    </row>
    <row r="30" spans="1:20">
      <c r="A30" s="208" t="s">
        <v>109</v>
      </c>
      <c r="B30" s="202">
        <v>1134478</v>
      </c>
      <c r="C30" s="202">
        <v>1287135</v>
      </c>
      <c r="D30" s="202">
        <v>1396636</v>
      </c>
      <c r="E30" s="200">
        <v>1454390</v>
      </c>
      <c r="F30" s="201" t="s">
        <v>106</v>
      </c>
      <c r="G30">
        <v>29</v>
      </c>
      <c r="H30">
        <v>18</v>
      </c>
      <c r="I30" s="270">
        <f>AVERAGE(Ridership[[#This Row],[FY23 Ridership]:[FY25 Ridership]])</f>
        <v>1379387</v>
      </c>
      <c r="K30" s="235">
        <f>Ridership[[#This Row],[FY25 Ridership]]-Ridership[[#This Row],[FY24 Ridership]]</f>
        <v>57754</v>
      </c>
      <c r="L30" s="236">
        <f>K30/Ridership[[#This Row],[FY24 Ridership]]</f>
        <v>4.1352220621550639E-2</v>
      </c>
      <c r="O30" s="238"/>
      <c r="P30" s="239"/>
      <c r="Q30" s="239"/>
      <c r="R30" s="244"/>
      <c r="S30" s="239"/>
    </row>
    <row r="31" spans="1:20">
      <c r="A31" s="208" t="s">
        <v>110</v>
      </c>
      <c r="B31" s="202">
        <v>29480</v>
      </c>
      <c r="C31" s="202">
        <v>27254</v>
      </c>
      <c r="D31" s="202">
        <v>28456</v>
      </c>
      <c r="E31" s="200">
        <v>31591</v>
      </c>
      <c r="F31" s="201" t="s">
        <v>106</v>
      </c>
      <c r="G31">
        <v>30</v>
      </c>
      <c r="H31">
        <v>29</v>
      </c>
      <c r="I31" s="270">
        <f>AVERAGE(Ridership[[#This Row],[FY23 Ridership]:[FY25 Ridership]])</f>
        <v>29100.333333333332</v>
      </c>
      <c r="K31" s="235">
        <f>Ridership[[#This Row],[FY25 Ridership]]-Ridership[[#This Row],[FY24 Ridership]]</f>
        <v>3135</v>
      </c>
      <c r="L31" s="236">
        <f>K31/Ridership[[#This Row],[FY24 Ridership]]</f>
        <v>0.11017008715209446</v>
      </c>
      <c r="O31" s="238"/>
      <c r="P31" s="239"/>
      <c r="Q31" s="239"/>
      <c r="R31" s="244"/>
      <c r="S31" s="239"/>
    </row>
    <row r="32" spans="1:20">
      <c r="A32" s="208" t="s">
        <v>112</v>
      </c>
      <c r="B32" s="202">
        <v>162733</v>
      </c>
      <c r="C32" s="202">
        <v>196967</v>
      </c>
      <c r="D32" s="202">
        <v>212642</v>
      </c>
      <c r="E32" s="200">
        <v>215834</v>
      </c>
      <c r="F32" s="201" t="s">
        <v>111</v>
      </c>
      <c r="G32">
        <v>31</v>
      </c>
      <c r="H32">
        <v>3</v>
      </c>
      <c r="I32" s="270">
        <f>AVERAGE(Ridership[[#This Row],[FY23 Ridership]:[FY25 Ridership]])</f>
        <v>208481</v>
      </c>
      <c r="K32" s="235">
        <f>Ridership[[#This Row],[FY25 Ridership]]-Ridership[[#This Row],[FY24 Ridership]]</f>
        <v>3192</v>
      </c>
      <c r="L32" s="236">
        <f>K32/Ridership[[#This Row],[FY24 Ridership]]</f>
        <v>1.5011145493364434E-2</v>
      </c>
      <c r="O32" s="238"/>
      <c r="P32" s="239"/>
      <c r="Q32" s="239"/>
      <c r="R32" s="244"/>
      <c r="S32" s="239"/>
    </row>
    <row r="33" spans="1:19">
      <c r="A33" s="208" t="s">
        <v>113</v>
      </c>
      <c r="B33" s="202">
        <v>1360253</v>
      </c>
      <c r="C33" s="202">
        <v>1522746</v>
      </c>
      <c r="D33" s="202">
        <v>1877126</v>
      </c>
      <c r="E33" s="200">
        <v>1957345</v>
      </c>
      <c r="F33" s="201" t="s">
        <v>111</v>
      </c>
      <c r="G33">
        <v>32</v>
      </c>
      <c r="H33">
        <v>6</v>
      </c>
      <c r="I33" s="270">
        <f>AVERAGE(Ridership[[#This Row],[FY23 Ridership]:[FY25 Ridership]])</f>
        <v>1785739</v>
      </c>
      <c r="K33" s="235">
        <f>Ridership[[#This Row],[FY25 Ridership]]-Ridership[[#This Row],[FY24 Ridership]]</f>
        <v>80219</v>
      </c>
      <c r="L33" s="236">
        <f>K33/Ridership[[#This Row],[FY24 Ridership]]</f>
        <v>4.2735010862350209E-2</v>
      </c>
      <c r="O33" s="238"/>
      <c r="P33" s="239"/>
      <c r="Q33" s="239"/>
      <c r="R33" s="244"/>
      <c r="S33" s="239"/>
    </row>
    <row r="34" spans="1:19">
      <c r="A34" s="208" t="s">
        <v>114</v>
      </c>
      <c r="B34" s="202">
        <v>134223</v>
      </c>
      <c r="C34" s="202">
        <v>180625</v>
      </c>
      <c r="D34" s="202">
        <v>181306</v>
      </c>
      <c r="E34" s="200">
        <v>106471</v>
      </c>
      <c r="F34" s="201" t="s">
        <v>111</v>
      </c>
      <c r="G34">
        <v>33</v>
      </c>
      <c r="H34">
        <v>10</v>
      </c>
      <c r="I34" s="270">
        <f>AVERAGE(Ridership[[#This Row],[FY23 Ridership]:[FY25 Ridership]])</f>
        <v>156134</v>
      </c>
      <c r="K34" s="235">
        <f>Ridership[[#This Row],[FY25 Ridership]]-Ridership[[#This Row],[FY24 Ridership]]</f>
        <v>-74835</v>
      </c>
      <c r="L34" s="236">
        <f>K34/Ridership[[#This Row],[FY24 Ridership]]</f>
        <v>-0.41275523148709914</v>
      </c>
      <c r="O34" s="238"/>
      <c r="P34" s="239"/>
      <c r="Q34" s="239"/>
      <c r="R34" s="244"/>
      <c r="S34" s="239"/>
    </row>
    <row r="35" spans="1:19">
      <c r="A35" s="208" t="s">
        <v>116</v>
      </c>
      <c r="B35" s="202">
        <v>127135</v>
      </c>
      <c r="C35" s="202">
        <v>129839</v>
      </c>
      <c r="D35" s="202">
        <v>131277</v>
      </c>
      <c r="E35" s="200">
        <v>128678</v>
      </c>
      <c r="F35" s="201" t="s">
        <v>115</v>
      </c>
      <c r="G35">
        <v>34</v>
      </c>
      <c r="H35">
        <v>2</v>
      </c>
      <c r="I35" s="270">
        <f>AVERAGE(Ridership[[#This Row],[FY23 Ridership]:[FY25 Ridership]])</f>
        <v>129931.33333333333</v>
      </c>
      <c r="K35" s="235">
        <f>Ridership[[#This Row],[FY25 Ridership]]-Ridership[[#This Row],[FY24 Ridership]]</f>
        <v>-2599</v>
      </c>
      <c r="L35" s="236">
        <f>K35/Ridership[[#This Row],[FY24 Ridership]]</f>
        <v>-1.9797832065022815E-2</v>
      </c>
      <c r="O35" s="238"/>
      <c r="P35" s="239"/>
      <c r="Q35" s="239"/>
      <c r="R35" s="244"/>
      <c r="S35" s="239"/>
    </row>
    <row r="36" spans="1:19">
      <c r="A36" s="208" t="s">
        <v>171</v>
      </c>
      <c r="B36" s="202">
        <v>24049</v>
      </c>
      <c r="C36" s="202">
        <v>28422</v>
      </c>
      <c r="D36" s="202">
        <v>28882</v>
      </c>
      <c r="E36" s="200">
        <v>28279</v>
      </c>
      <c r="F36" s="201" t="s">
        <v>115</v>
      </c>
      <c r="G36">
        <v>35</v>
      </c>
      <c r="H36">
        <v>35</v>
      </c>
      <c r="I36" s="270">
        <f>AVERAGE(Ridership[[#This Row],[FY23 Ridership]:[FY25 Ridership]])</f>
        <v>28527.666666666668</v>
      </c>
      <c r="K36" s="235">
        <f>Ridership[[#This Row],[FY25 Ridership]]-Ridership[[#This Row],[FY24 Ridership]]</f>
        <v>-603</v>
      </c>
      <c r="L36" s="236">
        <f>K36/Ridership[[#This Row],[FY24 Ridership]]</f>
        <v>-2.08780555363202E-2</v>
      </c>
      <c r="O36" s="238"/>
      <c r="P36" s="239"/>
      <c r="Q36" s="239"/>
      <c r="R36" s="244"/>
      <c r="S36" s="239"/>
    </row>
    <row r="37" spans="1:19">
      <c r="A37" s="208" t="s">
        <v>167</v>
      </c>
      <c r="B37" s="227">
        <v>90462</v>
      </c>
      <c r="C37" s="227">
        <v>124465</v>
      </c>
      <c r="D37" s="227">
        <f>125848</f>
        <v>125848</v>
      </c>
      <c r="E37" s="200">
        <v>135799</v>
      </c>
      <c r="F37" s="201" t="s">
        <v>115</v>
      </c>
      <c r="G37">
        <v>36</v>
      </c>
      <c r="H37">
        <v>21</v>
      </c>
      <c r="I37" s="270">
        <f>AVERAGE(Ridership[[#This Row],[FY23 Ridership]:[FY25 Ridership]])</f>
        <v>128704</v>
      </c>
      <c r="K37" s="235">
        <f>Ridership[[#This Row],[FY25 Ridership]]-Ridership[[#This Row],[FY24 Ridership]]</f>
        <v>9951</v>
      </c>
      <c r="L37" s="236">
        <f>K37/Ridership[[#This Row],[FY24 Ridership]]</f>
        <v>7.9071578412052632E-2</v>
      </c>
      <c r="O37" s="238"/>
      <c r="P37" s="239"/>
      <c r="Q37" s="239"/>
      <c r="R37" s="244"/>
      <c r="S37" s="239"/>
    </row>
    <row r="38" spans="1:19">
      <c r="A38" s="208" t="s">
        <v>168</v>
      </c>
      <c r="B38" s="202">
        <v>11840</v>
      </c>
      <c r="C38" s="202">
        <v>11675</v>
      </c>
      <c r="D38" s="202">
        <v>12090</v>
      </c>
      <c r="E38" s="200">
        <v>12961</v>
      </c>
      <c r="F38" s="201" t="s">
        <v>115</v>
      </c>
      <c r="G38">
        <v>37</v>
      </c>
      <c r="H38">
        <v>22</v>
      </c>
      <c r="I38" s="270">
        <f>AVERAGE(Ridership[[#This Row],[FY23 Ridership]:[FY25 Ridership]])</f>
        <v>12242</v>
      </c>
      <c r="K38" s="235">
        <f>Ridership[[#This Row],[FY25 Ridership]]-Ridership[[#This Row],[FY24 Ridership]]</f>
        <v>871</v>
      </c>
      <c r="L38" s="236">
        <f>K38/Ridership[[#This Row],[FY24 Ridership]]</f>
        <v>7.2043010752688166E-2</v>
      </c>
      <c r="O38" s="238"/>
      <c r="P38" s="239"/>
      <c r="Q38" s="239"/>
      <c r="R38" s="244"/>
      <c r="S38" s="239"/>
    </row>
    <row r="39" spans="1:19">
      <c r="A39" s="208" t="s">
        <v>169</v>
      </c>
      <c r="B39" s="200">
        <v>49444</v>
      </c>
      <c r="C39" s="200">
        <v>61663</v>
      </c>
      <c r="D39" s="200">
        <v>62326</v>
      </c>
      <c r="E39" s="200">
        <v>70287</v>
      </c>
      <c r="F39" s="201" t="s">
        <v>115</v>
      </c>
      <c r="G39">
        <v>38</v>
      </c>
      <c r="H39">
        <v>30</v>
      </c>
      <c r="I39" s="270">
        <f>AVERAGE(Ridership[[#This Row],[FY23 Ridership]:[FY25 Ridership]])</f>
        <v>64758.666666666664</v>
      </c>
      <c r="K39" s="235">
        <f>Ridership[[#This Row],[FY25 Ridership]]-Ridership[[#This Row],[FY24 Ridership]]</f>
        <v>7961</v>
      </c>
      <c r="L39" s="236">
        <f>K39/Ridership[[#This Row],[FY24 Ridership]]</f>
        <v>0.12773160478772905</v>
      </c>
      <c r="O39" s="238"/>
      <c r="P39" s="239"/>
      <c r="Q39" s="239"/>
      <c r="R39" s="244"/>
      <c r="S39" s="239"/>
    </row>
    <row r="40" spans="1:19">
      <c r="A40" s="208" t="s">
        <v>172</v>
      </c>
      <c r="B40" s="202">
        <v>169413</v>
      </c>
      <c r="C40" s="227">
        <v>187266</v>
      </c>
      <c r="D40" s="202">
        <v>192152</v>
      </c>
      <c r="E40" s="200">
        <v>196650</v>
      </c>
      <c r="F40" s="201" t="s">
        <v>115</v>
      </c>
      <c r="G40">
        <v>39</v>
      </c>
      <c r="H40">
        <v>38</v>
      </c>
      <c r="I40" s="270">
        <f>AVERAGE(Ridership[[#This Row],[FY23 Ridership]:[FY25 Ridership]])</f>
        <v>192022.66666666666</v>
      </c>
      <c r="K40" s="235">
        <f>Ridership[[#This Row],[FY25 Ridership]]-Ridership[[#This Row],[FY24 Ridership]]</f>
        <v>4498</v>
      </c>
      <c r="L40" s="236">
        <f>K40/Ridership[[#This Row],[FY24 Ridership]]</f>
        <v>2.3408551563345686E-2</v>
      </c>
      <c r="O40" s="238"/>
      <c r="P40" s="239"/>
      <c r="Q40" s="239"/>
      <c r="R40" s="244"/>
      <c r="S40" s="239"/>
    </row>
    <row r="41" spans="1:19">
      <c r="A41" s="204" t="s">
        <v>125</v>
      </c>
      <c r="B41" s="205">
        <f>SUM(B2:B40)</f>
        <v>38752057</v>
      </c>
      <c r="C41" s="205">
        <f>SUM(C2:C40)</f>
        <v>47365299</v>
      </c>
      <c r="D41" s="205">
        <f>SUM(D2:D40)</f>
        <v>53101586</v>
      </c>
      <c r="E41" s="205">
        <f>SUM(E2:E40)</f>
        <v>58683534</v>
      </c>
      <c r="F41" s="206" t="s">
        <v>134</v>
      </c>
      <c r="G41" s="206" t="s">
        <v>134</v>
      </c>
      <c r="H41" s="207" t="s">
        <v>134</v>
      </c>
      <c r="K41" s="235">
        <f>E41-D41</f>
        <v>5581948</v>
      </c>
      <c r="L41" s="236">
        <f>K41/D41</f>
        <v>0.10511829157042503</v>
      </c>
      <c r="R41" s="239"/>
      <c r="S41" s="239"/>
    </row>
    <row r="42" spans="1:19">
      <c r="B42" s="20"/>
      <c r="C42" s="21"/>
      <c r="R42" s="239"/>
      <c r="S42" s="239"/>
    </row>
    <row r="46" spans="1:19">
      <c r="F46" s="237"/>
    </row>
    <row r="47" spans="1:19">
      <c r="F47"/>
    </row>
    <row r="48" spans="1:19">
      <c r="E48" s="247"/>
      <c r="F48" s="248"/>
      <c r="G48" s="248"/>
      <c r="H48" s="248"/>
    </row>
    <row r="49" spans="5:8">
      <c r="E49" s="247"/>
      <c r="F49" s="249"/>
      <c r="G49" s="249"/>
      <c r="H49" s="249"/>
    </row>
    <row r="50" spans="5:8">
      <c r="E50" s="247"/>
      <c r="F50" s="249"/>
      <c r="G50" s="249"/>
      <c r="H50" s="249"/>
    </row>
    <row r="51" spans="5:8">
      <c r="E51" s="247"/>
      <c r="F51" s="249"/>
      <c r="G51" s="249"/>
      <c r="H51" s="250"/>
    </row>
  </sheetData>
  <sheetProtection sheet="1" objects="1" scenarios="1"/>
  <conditionalFormatting sqref="H2:I40">
    <cfRule type="cellIs" dxfId="14" priority="3" operator="lessThan">
      <formula>0</formula>
    </cfRule>
  </conditionalFormatting>
  <conditionalFormatting sqref="K2:L41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25" right="0.25" top="0.75" bottom="0.75" header="0.3" footer="0.3"/>
  <pageSetup scale="83" orientation="portrait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307B-C70C-4826-BB57-B51343D9ADE2}">
  <sheetPr>
    <pageSetUpPr fitToPage="1"/>
  </sheetPr>
  <dimension ref="A1:R47"/>
  <sheetViews>
    <sheetView zoomScale="85" zoomScaleNormal="85" workbookViewId="0">
      <selection activeCell="A3" sqref="A1:L1048576"/>
    </sheetView>
  </sheetViews>
  <sheetFormatPr defaultColWidth="9.26953125" defaultRowHeight="16"/>
  <cols>
    <col min="1" max="1" width="48" style="23" bestFit="1" customWidth="1"/>
    <col min="2" max="4" width="23.81640625" style="24" bestFit="1" customWidth="1"/>
    <col min="5" max="5" width="23.81640625" style="23" bestFit="1" customWidth="1"/>
    <col min="6" max="6" width="21.81640625" style="23" bestFit="1" customWidth="1"/>
    <col min="7" max="7" width="16.453125" style="23" bestFit="1" customWidth="1"/>
    <col min="8" max="8" width="23.81640625" style="165" bestFit="1" customWidth="1"/>
    <col min="9" max="9" width="27.1796875" style="165" customWidth="1"/>
    <col min="10" max="10" width="9.26953125" style="23"/>
    <col min="11" max="11" width="46.7265625" style="23" bestFit="1" customWidth="1"/>
    <col min="12" max="12" width="9.26953125" style="23"/>
    <col min="13" max="13" width="13" style="23" customWidth="1"/>
    <col min="14" max="14" width="10.81640625" style="23" bestFit="1" customWidth="1"/>
    <col min="15" max="16" width="9.26953125" style="23"/>
    <col min="17" max="17" width="44.81640625" style="23" bestFit="1" customWidth="1"/>
    <col min="18" max="16384" width="9.26953125" style="23"/>
  </cols>
  <sheetData>
    <row r="1" spans="1:18">
      <c r="A1" s="212" t="s">
        <v>124</v>
      </c>
      <c r="B1" s="213" t="s">
        <v>148</v>
      </c>
      <c r="C1" s="213" t="s">
        <v>149</v>
      </c>
      <c r="D1" s="213" t="s">
        <v>150</v>
      </c>
      <c r="E1" s="213" t="s">
        <v>151</v>
      </c>
      <c r="F1" s="214" t="s">
        <v>14</v>
      </c>
      <c r="G1" s="215" t="s">
        <v>142</v>
      </c>
      <c r="H1" s="215" t="s">
        <v>143</v>
      </c>
      <c r="I1" s="165" t="s">
        <v>194</v>
      </c>
      <c r="Q1" s="242"/>
      <c r="R1" s="242"/>
    </row>
    <row r="2" spans="1:18">
      <c r="A2" s="208" t="s">
        <v>75</v>
      </c>
      <c r="B2" s="209">
        <v>30762</v>
      </c>
      <c r="C2" s="209">
        <v>32940</v>
      </c>
      <c r="D2" s="209">
        <v>31601</v>
      </c>
      <c r="E2" s="211">
        <v>28183</v>
      </c>
      <c r="F2" s="201" t="s">
        <v>74</v>
      </c>
      <c r="G2">
        <v>1</v>
      </c>
      <c r="H2">
        <v>1</v>
      </c>
      <c r="I2" s="166"/>
      <c r="K2" s="238"/>
      <c r="L2" s="239"/>
      <c r="M2" s="239"/>
      <c r="N2" s="244"/>
      <c r="O2" s="246"/>
      <c r="Q2" s="243"/>
      <c r="R2" s="244"/>
    </row>
    <row r="3" spans="1:18">
      <c r="A3" s="208" t="s">
        <v>76</v>
      </c>
      <c r="B3" s="210">
        <v>7303</v>
      </c>
      <c r="C3" s="210">
        <v>7886</v>
      </c>
      <c r="D3" s="210">
        <v>7605</v>
      </c>
      <c r="E3" s="211">
        <v>7578</v>
      </c>
      <c r="F3" s="201" t="s">
        <v>74</v>
      </c>
      <c r="G3">
        <v>2</v>
      </c>
      <c r="H3">
        <v>5</v>
      </c>
      <c r="I3" s="166"/>
      <c r="K3" s="238"/>
      <c r="L3" s="239"/>
      <c r="M3" s="239"/>
      <c r="N3" s="244"/>
      <c r="O3" s="246"/>
      <c r="Q3" s="243"/>
      <c r="R3" s="244"/>
    </row>
    <row r="4" spans="1:18">
      <c r="A4" s="208" t="s">
        <v>77</v>
      </c>
      <c r="B4" s="211">
        <v>44776</v>
      </c>
      <c r="C4" s="211">
        <v>46711</v>
      </c>
      <c r="D4" s="211">
        <v>48302</v>
      </c>
      <c r="E4" s="211">
        <v>42313</v>
      </c>
      <c r="F4" s="201" t="s">
        <v>74</v>
      </c>
      <c r="G4">
        <v>3</v>
      </c>
      <c r="H4">
        <v>13</v>
      </c>
      <c r="I4" s="166"/>
      <c r="K4" s="238"/>
      <c r="L4" s="239"/>
      <c r="M4" s="239"/>
      <c r="N4" s="244"/>
      <c r="O4" s="246"/>
      <c r="Q4" s="243"/>
      <c r="R4" s="244"/>
    </row>
    <row r="5" spans="1:18">
      <c r="A5" s="208" t="s">
        <v>78</v>
      </c>
      <c r="B5" s="211">
        <v>40013</v>
      </c>
      <c r="C5" s="211">
        <v>47343</v>
      </c>
      <c r="D5" s="211">
        <v>44163</v>
      </c>
      <c r="E5" s="211">
        <v>43806</v>
      </c>
      <c r="F5" s="201" t="s">
        <v>74</v>
      </c>
      <c r="G5">
        <v>4</v>
      </c>
      <c r="H5">
        <v>23</v>
      </c>
      <c r="I5" s="166"/>
      <c r="K5" s="238"/>
      <c r="L5" s="239"/>
      <c r="M5" s="239"/>
      <c r="N5" s="244"/>
      <c r="O5" s="246"/>
      <c r="Q5" s="243"/>
      <c r="R5" s="244"/>
    </row>
    <row r="6" spans="1:18">
      <c r="A6" s="208" t="s">
        <v>79</v>
      </c>
      <c r="B6" s="211">
        <v>7979</v>
      </c>
      <c r="C6" s="211">
        <v>8170</v>
      </c>
      <c r="D6" s="211">
        <v>8168</v>
      </c>
      <c r="E6" s="211">
        <v>7975</v>
      </c>
      <c r="F6" s="201" t="s">
        <v>74</v>
      </c>
      <c r="G6">
        <v>5</v>
      </c>
      <c r="H6">
        <v>36</v>
      </c>
      <c r="I6" s="166"/>
      <c r="K6" s="238"/>
      <c r="L6" s="239"/>
      <c r="M6" s="239"/>
      <c r="N6" s="244"/>
      <c r="O6" s="246"/>
      <c r="Q6" s="243"/>
      <c r="R6" s="244"/>
    </row>
    <row r="7" spans="1:18">
      <c r="A7" s="208" t="s">
        <v>81</v>
      </c>
      <c r="B7" s="226">
        <v>94012</v>
      </c>
      <c r="C7" s="226">
        <v>113603</v>
      </c>
      <c r="D7" s="226">
        <v>128069</v>
      </c>
      <c r="E7" s="211">
        <v>144029</v>
      </c>
      <c r="F7" s="201" t="s">
        <v>80</v>
      </c>
      <c r="G7">
        <v>6</v>
      </c>
      <c r="H7">
        <v>4</v>
      </c>
      <c r="I7" s="166"/>
      <c r="K7" s="238"/>
      <c r="L7" s="239"/>
      <c r="M7" s="239"/>
      <c r="N7" s="244"/>
      <c r="O7" s="246"/>
      <c r="Q7" s="243"/>
      <c r="R7" s="244"/>
    </row>
    <row r="8" spans="1:18">
      <c r="A8" s="208" t="s">
        <v>166</v>
      </c>
      <c r="B8" s="211">
        <v>40268</v>
      </c>
      <c r="C8" s="211">
        <v>37181</v>
      </c>
      <c r="D8" s="211">
        <v>38032</v>
      </c>
      <c r="E8" s="211">
        <v>38381</v>
      </c>
      <c r="F8" s="201" t="s">
        <v>82</v>
      </c>
      <c r="G8">
        <v>7</v>
      </c>
      <c r="H8">
        <v>15</v>
      </c>
      <c r="I8" s="166"/>
      <c r="K8" s="238"/>
      <c r="L8" s="239"/>
      <c r="M8" s="239"/>
      <c r="N8" s="244"/>
      <c r="O8" s="246"/>
      <c r="Q8" s="243"/>
      <c r="R8" s="244"/>
    </row>
    <row r="9" spans="1:18">
      <c r="A9" s="208" t="s">
        <v>85</v>
      </c>
      <c r="B9" s="210">
        <v>21618</v>
      </c>
      <c r="C9" s="210">
        <v>22410</v>
      </c>
      <c r="D9" s="210">
        <v>24727.8</v>
      </c>
      <c r="E9" s="211">
        <v>24537</v>
      </c>
      <c r="F9" s="201" t="s">
        <v>84</v>
      </c>
      <c r="G9">
        <v>8</v>
      </c>
      <c r="H9">
        <v>9</v>
      </c>
      <c r="I9" s="166"/>
      <c r="K9" s="238"/>
      <c r="L9" s="239"/>
      <c r="M9" s="239"/>
      <c r="N9" s="244"/>
      <c r="O9" s="246"/>
      <c r="Q9" s="243"/>
      <c r="R9" s="244"/>
    </row>
    <row r="10" spans="1:18">
      <c r="A10" s="208" t="s">
        <v>86</v>
      </c>
      <c r="B10" s="211">
        <v>3090</v>
      </c>
      <c r="C10" s="211">
        <v>3108</v>
      </c>
      <c r="D10" s="211">
        <v>2826</v>
      </c>
      <c r="E10" s="211">
        <v>3025</v>
      </c>
      <c r="F10" s="201" t="s">
        <v>84</v>
      </c>
      <c r="G10">
        <v>9</v>
      </c>
      <c r="H10">
        <v>19</v>
      </c>
      <c r="I10" s="166"/>
      <c r="K10" s="238"/>
      <c r="L10" s="239"/>
      <c r="M10" s="239"/>
      <c r="N10" s="244"/>
      <c r="O10" s="246"/>
      <c r="Q10" s="243"/>
      <c r="R10" s="244"/>
    </row>
    <row r="11" spans="1:18">
      <c r="A11" s="208" t="s">
        <v>87</v>
      </c>
      <c r="B11" s="211">
        <v>886831</v>
      </c>
      <c r="C11" s="211">
        <v>955047</v>
      </c>
      <c r="D11" s="211">
        <v>1002985.3500000001</v>
      </c>
      <c r="E11" s="211">
        <v>935916</v>
      </c>
      <c r="F11" s="201" t="s">
        <v>84</v>
      </c>
      <c r="G11">
        <v>10</v>
      </c>
      <c r="H11">
        <v>20</v>
      </c>
      <c r="I11" s="166"/>
      <c r="K11" s="238"/>
      <c r="L11" s="239"/>
      <c r="M11" s="239"/>
      <c r="N11" s="244"/>
      <c r="O11" s="246"/>
      <c r="Q11" s="243"/>
      <c r="R11" s="244"/>
    </row>
    <row r="12" spans="1:18">
      <c r="A12" s="208" t="s">
        <v>88</v>
      </c>
      <c r="B12" s="211">
        <v>20345</v>
      </c>
      <c r="C12" s="211">
        <v>20260</v>
      </c>
      <c r="D12" s="211">
        <v>20119</v>
      </c>
      <c r="E12" s="211">
        <v>21730</v>
      </c>
      <c r="F12" s="201" t="s">
        <v>84</v>
      </c>
      <c r="G12">
        <v>11</v>
      </c>
      <c r="H12">
        <v>31</v>
      </c>
      <c r="I12" s="166"/>
      <c r="K12" s="238"/>
      <c r="L12" s="239"/>
      <c r="M12" s="239"/>
      <c r="N12" s="244"/>
      <c r="O12" s="246"/>
      <c r="Q12" s="243"/>
      <c r="R12" s="244"/>
    </row>
    <row r="13" spans="1:18">
      <c r="A13" s="208" t="s">
        <v>89</v>
      </c>
      <c r="B13" s="211">
        <v>880</v>
      </c>
      <c r="C13" s="211">
        <v>502</v>
      </c>
      <c r="D13" s="211">
        <v>1389</v>
      </c>
      <c r="E13" s="211">
        <v>953</v>
      </c>
      <c r="F13" s="201" t="s">
        <v>84</v>
      </c>
      <c r="G13">
        <v>12</v>
      </c>
      <c r="H13">
        <v>37</v>
      </c>
      <c r="I13" s="166"/>
      <c r="K13" s="238"/>
      <c r="L13" s="239"/>
      <c r="M13" s="239"/>
      <c r="N13" s="244"/>
      <c r="O13" s="246"/>
      <c r="Q13" s="243"/>
      <c r="R13" s="244"/>
    </row>
    <row r="14" spans="1:18">
      <c r="A14" s="208" t="s">
        <v>90</v>
      </c>
      <c r="B14" s="211">
        <v>79332</v>
      </c>
      <c r="C14" s="211">
        <v>71283</v>
      </c>
      <c r="D14" s="211">
        <v>68607</v>
      </c>
      <c r="E14" s="211">
        <v>69229</v>
      </c>
      <c r="F14" s="201" t="s">
        <v>84</v>
      </c>
      <c r="G14">
        <v>13</v>
      </c>
      <c r="H14">
        <v>39</v>
      </c>
      <c r="I14" s="166"/>
      <c r="K14" s="238"/>
      <c r="L14" s="239"/>
      <c r="M14" s="239"/>
      <c r="N14" s="244"/>
      <c r="O14" s="246"/>
      <c r="Q14" s="243"/>
      <c r="R14" s="244"/>
    </row>
    <row r="15" spans="1:18">
      <c r="A15" s="208" t="s">
        <v>92</v>
      </c>
      <c r="B15" s="211">
        <v>35273</v>
      </c>
      <c r="C15" s="211">
        <v>29937</v>
      </c>
      <c r="D15" s="211">
        <v>34940</v>
      </c>
      <c r="E15" s="211">
        <v>32391</v>
      </c>
      <c r="F15" s="201" t="s">
        <v>91</v>
      </c>
      <c r="G15">
        <v>14</v>
      </c>
      <c r="H15">
        <v>12</v>
      </c>
      <c r="I15" s="166"/>
      <c r="K15" s="238"/>
      <c r="L15" s="239"/>
      <c r="M15" s="239"/>
      <c r="N15" s="244"/>
      <c r="O15" s="246"/>
      <c r="Q15" s="243"/>
      <c r="R15" s="244"/>
    </row>
    <row r="16" spans="1:18">
      <c r="A16" s="208" t="s">
        <v>93</v>
      </c>
      <c r="B16" s="211">
        <v>11837</v>
      </c>
      <c r="C16" s="211">
        <v>11560</v>
      </c>
      <c r="D16" s="211">
        <v>11193</v>
      </c>
      <c r="E16" s="211">
        <v>11641</v>
      </c>
      <c r="F16" s="201" t="s">
        <v>91</v>
      </c>
      <c r="G16">
        <v>15</v>
      </c>
      <c r="H16">
        <v>14</v>
      </c>
      <c r="I16" s="166"/>
      <c r="K16" s="238"/>
      <c r="L16" s="239"/>
      <c r="M16" s="239"/>
      <c r="N16" s="244"/>
      <c r="O16" s="246"/>
      <c r="Q16" s="243"/>
      <c r="R16" s="244"/>
    </row>
    <row r="17" spans="1:18">
      <c r="A17" s="208" t="s">
        <v>94</v>
      </c>
      <c r="B17" s="211">
        <v>74332</v>
      </c>
      <c r="C17" s="211">
        <v>79599</v>
      </c>
      <c r="D17" s="211">
        <v>80007.260000000009</v>
      </c>
      <c r="E17" s="211">
        <v>82740</v>
      </c>
      <c r="F17" s="201" t="s">
        <v>91</v>
      </c>
      <c r="G17">
        <v>16</v>
      </c>
      <c r="H17">
        <v>16</v>
      </c>
      <c r="I17" s="166"/>
      <c r="K17" s="238"/>
      <c r="L17" s="239"/>
      <c r="M17" s="239"/>
      <c r="N17" s="244"/>
      <c r="O17" s="246"/>
      <c r="Q17" s="243"/>
      <c r="R17" s="244"/>
    </row>
    <row r="18" spans="1:18">
      <c r="A18" s="208" t="s">
        <v>95</v>
      </c>
      <c r="B18" s="211">
        <v>3043</v>
      </c>
      <c r="C18" s="211">
        <v>3028</v>
      </c>
      <c r="D18" s="211">
        <v>3004</v>
      </c>
      <c r="E18" s="211">
        <v>3083</v>
      </c>
      <c r="F18" s="201" t="s">
        <v>91</v>
      </c>
      <c r="G18">
        <v>17</v>
      </c>
      <c r="H18">
        <v>32</v>
      </c>
      <c r="I18" s="166"/>
      <c r="K18" s="238"/>
      <c r="L18" s="239"/>
      <c r="M18" s="239"/>
      <c r="N18" s="244"/>
      <c r="O18" s="246"/>
      <c r="Q18" s="243"/>
      <c r="R18" s="244"/>
    </row>
    <row r="19" spans="1:18">
      <c r="A19" s="208" t="s">
        <v>165</v>
      </c>
      <c r="B19" s="226">
        <f>88663</f>
        <v>88663</v>
      </c>
      <c r="C19" s="226">
        <f>108286</f>
        <v>108286</v>
      </c>
      <c r="D19" s="226">
        <f>160073</f>
        <v>160073</v>
      </c>
      <c r="E19" s="233">
        <f>171928</f>
        <v>171928</v>
      </c>
      <c r="F19" s="201" t="s">
        <v>96</v>
      </c>
      <c r="G19">
        <v>18</v>
      </c>
      <c r="H19">
        <v>11</v>
      </c>
      <c r="I19" s="166"/>
      <c r="K19" s="238"/>
      <c r="L19" s="239"/>
      <c r="M19" s="239"/>
      <c r="N19" s="244"/>
      <c r="O19" s="246"/>
      <c r="Q19" s="243"/>
      <c r="R19" s="244"/>
    </row>
    <row r="20" spans="1:18">
      <c r="A20" s="208" t="s">
        <v>98</v>
      </c>
      <c r="B20" s="211">
        <v>204460</v>
      </c>
      <c r="C20" s="211">
        <v>216250</v>
      </c>
      <c r="D20" s="211">
        <v>230883</v>
      </c>
      <c r="E20" s="211">
        <v>225969</v>
      </c>
      <c r="F20" s="201" t="s">
        <v>96</v>
      </c>
      <c r="G20">
        <v>19</v>
      </c>
      <c r="H20">
        <v>24</v>
      </c>
      <c r="I20" s="166"/>
      <c r="K20" s="238"/>
      <c r="L20" s="239"/>
      <c r="M20" s="239"/>
      <c r="N20" s="244"/>
      <c r="O20" s="246"/>
      <c r="Q20" s="243"/>
      <c r="R20" s="244"/>
    </row>
    <row r="21" spans="1:18">
      <c r="A21" s="208" t="s">
        <v>99</v>
      </c>
      <c r="B21" s="211">
        <v>276476</v>
      </c>
      <c r="C21" s="211">
        <v>310607</v>
      </c>
      <c r="D21" s="211">
        <v>308856.31</v>
      </c>
      <c r="E21" s="211">
        <v>318474</v>
      </c>
      <c r="F21" s="201" t="s">
        <v>96</v>
      </c>
      <c r="G21">
        <v>20</v>
      </c>
      <c r="H21">
        <v>25</v>
      </c>
      <c r="I21" s="166"/>
      <c r="K21" s="238"/>
      <c r="L21" s="239"/>
      <c r="M21" s="239"/>
      <c r="N21" s="244"/>
      <c r="O21" s="246"/>
      <c r="Q21" s="243"/>
      <c r="R21" s="244"/>
    </row>
    <row r="22" spans="1:18">
      <c r="A22" s="208" t="s">
        <v>100</v>
      </c>
      <c r="B22" s="211">
        <v>35046</v>
      </c>
      <c r="C22" s="211">
        <v>34638</v>
      </c>
      <c r="D22" s="211">
        <v>34526</v>
      </c>
      <c r="E22" s="211">
        <v>34553</v>
      </c>
      <c r="F22" s="201" t="s">
        <v>96</v>
      </c>
      <c r="G22">
        <v>21</v>
      </c>
      <c r="H22">
        <v>26</v>
      </c>
      <c r="I22" s="166"/>
      <c r="K22" s="238"/>
      <c r="L22" s="239"/>
      <c r="M22" s="239"/>
      <c r="N22" s="244"/>
      <c r="O22" s="246"/>
      <c r="Q22" s="243"/>
      <c r="R22" s="244"/>
    </row>
    <row r="23" spans="1:18">
      <c r="A23" s="208" t="s">
        <v>101</v>
      </c>
      <c r="B23" s="226">
        <f>840428</f>
        <v>840428</v>
      </c>
      <c r="C23" s="211">
        <v>848788</v>
      </c>
      <c r="D23" s="211">
        <v>819202.73699999996</v>
      </c>
      <c r="E23" s="211">
        <v>879010</v>
      </c>
      <c r="F23" s="201" t="s">
        <v>96</v>
      </c>
      <c r="G23">
        <v>22</v>
      </c>
      <c r="H23">
        <v>27</v>
      </c>
      <c r="I23" s="166"/>
      <c r="K23" s="238"/>
      <c r="L23" s="239"/>
      <c r="M23" s="239"/>
      <c r="N23" s="244"/>
      <c r="O23" s="246"/>
      <c r="Q23" s="243"/>
      <c r="R23" s="244"/>
    </row>
    <row r="24" spans="1:18">
      <c r="A24" s="208" t="s">
        <v>102</v>
      </c>
      <c r="B24" s="226">
        <f>147080</f>
        <v>147080</v>
      </c>
      <c r="C24" s="226">
        <f>142232</f>
        <v>142232</v>
      </c>
      <c r="D24" s="226">
        <f>174456.2</f>
        <v>174456.2</v>
      </c>
      <c r="E24" s="233">
        <v>196723.52001949801</v>
      </c>
      <c r="F24" s="201" t="s">
        <v>96</v>
      </c>
      <c r="G24">
        <v>23</v>
      </c>
      <c r="H24">
        <v>28</v>
      </c>
      <c r="I24" s="166"/>
      <c r="K24" s="238"/>
      <c r="L24" s="239"/>
      <c r="M24" s="239"/>
      <c r="N24" s="244"/>
      <c r="O24" s="246"/>
      <c r="Q24" s="243"/>
      <c r="R24" s="244"/>
    </row>
    <row r="25" spans="1:18">
      <c r="A25" s="208" t="s">
        <v>104</v>
      </c>
      <c r="B25" s="211">
        <v>47286</v>
      </c>
      <c r="C25" s="211">
        <v>43849</v>
      </c>
      <c r="D25" s="211">
        <v>41575</v>
      </c>
      <c r="E25" s="211">
        <v>44373</v>
      </c>
      <c r="F25" s="201" t="s">
        <v>103</v>
      </c>
      <c r="G25">
        <v>24</v>
      </c>
      <c r="H25">
        <v>7</v>
      </c>
      <c r="I25" s="166"/>
      <c r="K25" s="238"/>
      <c r="L25" s="239"/>
      <c r="M25" s="239"/>
      <c r="N25" s="244"/>
      <c r="O25" s="246"/>
      <c r="Q25" s="243"/>
      <c r="R25" s="244"/>
    </row>
    <row r="26" spans="1:18">
      <c r="A26" s="208" t="s">
        <v>105</v>
      </c>
      <c r="B26" s="211">
        <v>589217</v>
      </c>
      <c r="C26" s="226">
        <f>582073</f>
        <v>582073</v>
      </c>
      <c r="D26" s="226">
        <f>631194</f>
        <v>631194</v>
      </c>
      <c r="E26" s="233">
        <v>735603</v>
      </c>
      <c r="F26" s="201" t="s">
        <v>103</v>
      </c>
      <c r="G26">
        <v>25</v>
      </c>
      <c r="H26">
        <v>17</v>
      </c>
      <c r="I26" s="166"/>
      <c r="K26" s="238"/>
      <c r="L26" s="239"/>
      <c r="M26" s="239"/>
      <c r="N26" s="244"/>
      <c r="O26" s="246"/>
      <c r="Q26" s="243"/>
      <c r="R26" s="244"/>
    </row>
    <row r="27" spans="1:18">
      <c r="A27" s="208" t="s">
        <v>173</v>
      </c>
      <c r="B27" s="211">
        <v>0</v>
      </c>
      <c r="C27" s="211">
        <v>1065</v>
      </c>
      <c r="D27" s="211">
        <v>1636</v>
      </c>
      <c r="E27" s="211">
        <v>1600</v>
      </c>
      <c r="F27" s="201" t="s">
        <v>106</v>
      </c>
      <c r="G27">
        <v>26</v>
      </c>
      <c r="H27">
        <v>33</v>
      </c>
      <c r="I27" s="166"/>
      <c r="K27" s="238"/>
      <c r="L27" s="239"/>
      <c r="M27" s="239"/>
      <c r="N27" s="244"/>
      <c r="O27" s="246"/>
      <c r="Q27" s="243"/>
      <c r="R27" s="244"/>
    </row>
    <row r="28" spans="1:18">
      <c r="A28" s="208" t="s">
        <v>170</v>
      </c>
      <c r="B28" s="211">
        <v>100136</v>
      </c>
      <c r="C28" s="211">
        <v>92885</v>
      </c>
      <c r="D28" s="211">
        <v>99331.900000000009</v>
      </c>
      <c r="E28" s="211">
        <v>121490</v>
      </c>
      <c r="F28" s="201" t="s">
        <v>106</v>
      </c>
      <c r="G28">
        <v>27</v>
      </c>
      <c r="H28">
        <v>34</v>
      </c>
      <c r="I28" s="166"/>
      <c r="K28" s="238"/>
      <c r="L28" s="239"/>
      <c r="M28" s="239"/>
      <c r="N28" s="244"/>
      <c r="O28" s="246"/>
      <c r="Q28" s="243"/>
      <c r="R28" s="244"/>
    </row>
    <row r="29" spans="1:18">
      <c r="A29" s="208" t="s">
        <v>108</v>
      </c>
      <c r="B29" s="211">
        <v>31063</v>
      </c>
      <c r="C29" s="211">
        <v>32095</v>
      </c>
      <c r="D29" s="211">
        <v>36673.339999999997</v>
      </c>
      <c r="E29" s="211">
        <v>35518.39</v>
      </c>
      <c r="F29" s="201" t="s">
        <v>106</v>
      </c>
      <c r="G29">
        <v>28</v>
      </c>
      <c r="H29">
        <v>8</v>
      </c>
      <c r="I29" s="166"/>
      <c r="K29" s="238"/>
      <c r="L29" s="239"/>
      <c r="M29" s="239"/>
      <c r="N29" s="244"/>
      <c r="O29" s="246"/>
      <c r="Q29" s="243"/>
      <c r="R29" s="244"/>
    </row>
    <row r="30" spans="1:18">
      <c r="A30" s="208" t="s">
        <v>109</v>
      </c>
      <c r="B30" s="211">
        <v>155800</v>
      </c>
      <c r="C30" s="211">
        <v>141516</v>
      </c>
      <c r="D30" s="211">
        <v>143067</v>
      </c>
      <c r="E30" s="211">
        <v>156195</v>
      </c>
      <c r="F30" s="201" t="s">
        <v>106</v>
      </c>
      <c r="G30">
        <v>29</v>
      </c>
      <c r="H30">
        <v>18</v>
      </c>
      <c r="I30" s="166"/>
      <c r="K30" s="238"/>
      <c r="L30" s="239"/>
      <c r="M30" s="239"/>
      <c r="N30" s="244"/>
      <c r="O30" s="246"/>
      <c r="Q30" s="243"/>
      <c r="R30" s="244"/>
    </row>
    <row r="31" spans="1:18">
      <c r="A31" s="208" t="s">
        <v>110</v>
      </c>
      <c r="B31" s="211">
        <v>19090</v>
      </c>
      <c r="C31" s="211">
        <v>18878</v>
      </c>
      <c r="D31" s="211">
        <v>18710.25</v>
      </c>
      <c r="E31" s="211">
        <v>18376</v>
      </c>
      <c r="F31" s="201" t="s">
        <v>106</v>
      </c>
      <c r="G31">
        <v>30</v>
      </c>
      <c r="H31">
        <v>29</v>
      </c>
      <c r="I31" s="166"/>
      <c r="K31" s="238"/>
      <c r="L31" s="239"/>
      <c r="M31" s="239"/>
      <c r="N31" s="244"/>
      <c r="O31" s="246"/>
      <c r="Q31" s="243"/>
      <c r="R31" s="244"/>
    </row>
    <row r="32" spans="1:18">
      <c r="A32" s="208" t="s">
        <v>112</v>
      </c>
      <c r="B32" s="211">
        <v>36937</v>
      </c>
      <c r="C32" s="211">
        <v>37781</v>
      </c>
      <c r="D32" s="211">
        <v>36534.629999999997</v>
      </c>
      <c r="E32" s="211">
        <v>36644</v>
      </c>
      <c r="F32" s="201" t="s">
        <v>111</v>
      </c>
      <c r="G32">
        <v>31</v>
      </c>
      <c r="H32">
        <v>3</v>
      </c>
      <c r="I32" s="166"/>
      <c r="K32" s="238"/>
      <c r="L32" s="239"/>
      <c r="M32" s="239"/>
      <c r="N32" s="244"/>
      <c r="O32" s="246"/>
      <c r="Q32" s="243"/>
      <c r="R32" s="244"/>
    </row>
    <row r="33" spans="1:18">
      <c r="A33" s="208" t="s">
        <v>113</v>
      </c>
      <c r="B33" s="211">
        <v>74536</v>
      </c>
      <c r="C33" s="211">
        <v>72014</v>
      </c>
      <c r="D33" s="211">
        <v>76614</v>
      </c>
      <c r="E33" s="211">
        <v>78270</v>
      </c>
      <c r="F33" s="201" t="s">
        <v>111</v>
      </c>
      <c r="G33">
        <v>32</v>
      </c>
      <c r="H33">
        <v>6</v>
      </c>
      <c r="I33" s="166"/>
      <c r="K33" s="238"/>
      <c r="L33" s="239"/>
      <c r="M33" s="239"/>
      <c r="N33" s="244"/>
      <c r="O33" s="246"/>
      <c r="Q33" s="243"/>
      <c r="R33" s="244"/>
    </row>
    <row r="34" spans="1:18">
      <c r="A34" s="208" t="s">
        <v>114</v>
      </c>
      <c r="B34" s="211">
        <v>17310</v>
      </c>
      <c r="C34" s="211">
        <v>20219</v>
      </c>
      <c r="D34" s="211">
        <v>25268</v>
      </c>
      <c r="E34" s="211">
        <v>27972</v>
      </c>
      <c r="F34" s="201" t="s">
        <v>111</v>
      </c>
      <c r="G34">
        <v>33</v>
      </c>
      <c r="H34">
        <v>10</v>
      </c>
      <c r="I34" s="166"/>
      <c r="K34" s="238"/>
      <c r="L34" s="239"/>
      <c r="M34" s="239"/>
      <c r="N34" s="244"/>
      <c r="O34" s="246"/>
      <c r="Q34" s="243"/>
      <c r="R34" s="244"/>
    </row>
    <row r="35" spans="1:18">
      <c r="A35" s="208" t="s">
        <v>116</v>
      </c>
      <c r="B35" s="211">
        <v>60586</v>
      </c>
      <c r="C35" s="211">
        <v>61652</v>
      </c>
      <c r="D35" s="211">
        <v>61710.71</v>
      </c>
      <c r="E35" s="211">
        <v>59749</v>
      </c>
      <c r="F35" s="201" t="s">
        <v>115</v>
      </c>
      <c r="G35">
        <v>34</v>
      </c>
      <c r="H35">
        <v>2</v>
      </c>
      <c r="I35" s="166"/>
      <c r="K35" s="238"/>
      <c r="L35" s="239"/>
      <c r="M35" s="239"/>
      <c r="N35" s="244"/>
      <c r="O35" s="246"/>
      <c r="Q35" s="243"/>
      <c r="R35" s="244"/>
    </row>
    <row r="36" spans="1:18">
      <c r="A36" s="208" t="s">
        <v>171</v>
      </c>
      <c r="B36" s="211">
        <v>15570</v>
      </c>
      <c r="C36" s="211">
        <v>15538</v>
      </c>
      <c r="D36" s="211">
        <v>15534</v>
      </c>
      <c r="E36" s="211">
        <v>14739</v>
      </c>
      <c r="F36" s="201" t="s">
        <v>115</v>
      </c>
      <c r="G36">
        <v>35</v>
      </c>
      <c r="H36">
        <v>35</v>
      </c>
      <c r="I36" s="166"/>
      <c r="K36" s="238"/>
      <c r="L36" s="239"/>
      <c r="M36" s="239"/>
      <c r="N36" s="244"/>
      <c r="O36" s="246"/>
      <c r="Q36" s="243"/>
      <c r="R36" s="244"/>
    </row>
    <row r="37" spans="1:18">
      <c r="A37" s="208" t="s">
        <v>167</v>
      </c>
      <c r="B37" s="226">
        <v>39833</v>
      </c>
      <c r="C37" s="226">
        <v>46573</v>
      </c>
      <c r="D37" s="226">
        <v>46101.396664300002</v>
      </c>
      <c r="E37" s="211">
        <v>45862</v>
      </c>
      <c r="F37" s="201" t="s">
        <v>115</v>
      </c>
      <c r="G37">
        <v>36</v>
      </c>
      <c r="H37">
        <v>21</v>
      </c>
      <c r="I37" s="166"/>
      <c r="K37" s="238"/>
      <c r="L37" s="239"/>
      <c r="M37" s="239"/>
      <c r="N37" s="244"/>
      <c r="O37" s="246"/>
      <c r="Q37" s="243"/>
      <c r="R37" s="244"/>
    </row>
    <row r="38" spans="1:18">
      <c r="A38" s="208" t="s">
        <v>168</v>
      </c>
      <c r="B38" s="211">
        <v>5390</v>
      </c>
      <c r="C38" s="211">
        <v>5322</v>
      </c>
      <c r="D38" s="211">
        <v>5064</v>
      </c>
      <c r="E38" s="211">
        <v>5116</v>
      </c>
      <c r="F38" s="201" t="s">
        <v>115</v>
      </c>
      <c r="G38">
        <v>37</v>
      </c>
      <c r="H38">
        <v>22</v>
      </c>
      <c r="I38" s="166"/>
      <c r="K38" s="238"/>
      <c r="L38" s="239"/>
      <c r="M38" s="239"/>
      <c r="N38" s="244"/>
      <c r="O38" s="246"/>
      <c r="Q38" s="243"/>
      <c r="R38" s="244"/>
    </row>
    <row r="39" spans="1:18">
      <c r="A39" s="208" t="s">
        <v>169</v>
      </c>
      <c r="B39" s="211">
        <v>18141</v>
      </c>
      <c r="C39" s="211">
        <v>18247</v>
      </c>
      <c r="D39" s="211">
        <v>18443</v>
      </c>
      <c r="E39" s="211">
        <v>17965</v>
      </c>
      <c r="F39" s="201" t="s">
        <v>115</v>
      </c>
      <c r="G39">
        <v>38</v>
      </c>
      <c r="H39">
        <v>30</v>
      </c>
      <c r="I39" s="166"/>
      <c r="K39" s="238"/>
      <c r="L39" s="239"/>
      <c r="M39" s="239"/>
      <c r="N39" s="244"/>
      <c r="O39" s="246"/>
      <c r="Q39" s="243"/>
      <c r="R39" s="244"/>
    </row>
    <row r="40" spans="1:18">
      <c r="A40" s="208" t="s">
        <v>172</v>
      </c>
      <c r="B40" s="211">
        <v>60519</v>
      </c>
      <c r="C40" s="226">
        <v>63759</v>
      </c>
      <c r="D40" s="211">
        <v>63064.05</v>
      </c>
      <c r="E40" s="211">
        <v>65376</v>
      </c>
      <c r="F40" s="201" t="s">
        <v>115</v>
      </c>
      <c r="G40">
        <v>39</v>
      </c>
      <c r="H40">
        <v>38</v>
      </c>
      <c r="I40" s="166"/>
      <c r="K40" s="238"/>
      <c r="L40" s="239"/>
      <c r="M40" s="239"/>
      <c r="N40" s="244"/>
      <c r="O40" s="246"/>
      <c r="Q40" s="243"/>
      <c r="R40" s="244"/>
    </row>
    <row r="41" spans="1:18">
      <c r="A41" s="208" t="s">
        <v>125</v>
      </c>
      <c r="B41" s="216">
        <f>SUM(B2:B40)</f>
        <v>4265261</v>
      </c>
      <c r="C41" s="216">
        <f>SUM(C2:C40)</f>
        <v>4404835</v>
      </c>
      <c r="D41" s="216">
        <f>SUM(D2:D40)</f>
        <v>4604256.9336642995</v>
      </c>
      <c r="E41" s="216">
        <f>SUM(E2:E40)</f>
        <v>4789015.9100194974</v>
      </c>
      <c r="F41" s="217" t="s">
        <v>134</v>
      </c>
      <c r="G41" s="26" t="s">
        <v>134</v>
      </c>
      <c r="H41" s="218" t="s">
        <v>134</v>
      </c>
    </row>
    <row r="42" spans="1:18">
      <c r="B42" s="25"/>
      <c r="C42" s="21"/>
    </row>
    <row r="45" spans="1:18">
      <c r="D45" s="237"/>
    </row>
    <row r="46" spans="1:18">
      <c r="D46"/>
    </row>
    <row r="47" spans="1:18">
      <c r="D47" s="237"/>
    </row>
  </sheetData>
  <sheetProtection sheet="1" objects="1" scenarios="1"/>
  <conditionalFormatting sqref="H2:H40">
    <cfRule type="cellIs" dxfId="11" priority="1" operator="lessThan">
      <formula>0</formula>
    </cfRule>
  </conditionalFormatting>
  <conditionalFormatting sqref="I2:I40">
    <cfRule type="cellIs" dxfId="10" priority="2" operator="lessThan">
      <formula>0</formula>
    </cfRule>
  </conditionalFormatting>
  <pageMargins left="0.25" right="0.25" top="0.75" bottom="0.75" header="0.3" footer="0.3"/>
  <pageSetup scale="83" orientation="portrait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EFE4-9E0E-4916-B65F-75C8EA9DED46}">
  <sheetPr>
    <pageSetUpPr fitToPage="1"/>
  </sheetPr>
  <dimension ref="A1:L44"/>
  <sheetViews>
    <sheetView zoomScale="85" zoomScaleNormal="85" workbookViewId="0">
      <selection activeCell="A3" sqref="A1:L1048576"/>
    </sheetView>
  </sheetViews>
  <sheetFormatPr defaultColWidth="9.26953125" defaultRowHeight="16"/>
  <cols>
    <col min="1" max="1" width="48" style="23" bestFit="1" customWidth="1"/>
    <col min="2" max="4" width="23.81640625" style="24" bestFit="1" customWidth="1"/>
    <col min="5" max="5" width="23.81640625" style="23" bestFit="1" customWidth="1"/>
    <col min="6" max="6" width="21.81640625" style="23" bestFit="1" customWidth="1"/>
    <col min="7" max="7" width="16.453125" style="23" bestFit="1" customWidth="1"/>
    <col min="8" max="8" width="23.81640625" style="165" bestFit="1" customWidth="1"/>
    <col min="9" max="9" width="20.1796875" style="165" customWidth="1"/>
    <col min="10" max="10" width="9.26953125" style="23"/>
    <col min="11" max="11" width="20.7265625" style="23" bestFit="1" customWidth="1"/>
    <col min="12" max="16384" width="9.26953125" style="23"/>
  </cols>
  <sheetData>
    <row r="1" spans="1:12">
      <c r="A1" s="212" t="s">
        <v>124</v>
      </c>
      <c r="B1" s="213" t="s">
        <v>148</v>
      </c>
      <c r="C1" s="213" t="s">
        <v>149</v>
      </c>
      <c r="D1" s="213" t="s">
        <v>150</v>
      </c>
      <c r="E1" s="213" t="s">
        <v>151</v>
      </c>
      <c r="F1" s="214" t="s">
        <v>14</v>
      </c>
      <c r="G1" s="215" t="s">
        <v>142</v>
      </c>
      <c r="H1" s="215" t="s">
        <v>143</v>
      </c>
      <c r="I1" s="269" t="s">
        <v>195</v>
      </c>
      <c r="K1" s="203" t="s">
        <v>163</v>
      </c>
      <c r="L1" s="203" t="s">
        <v>162</v>
      </c>
    </row>
    <row r="2" spans="1:12">
      <c r="A2" s="208" t="s">
        <v>75</v>
      </c>
      <c r="B2" s="209">
        <v>30762</v>
      </c>
      <c r="C2" s="209">
        <v>32940</v>
      </c>
      <c r="D2" s="209">
        <v>31601</v>
      </c>
      <c r="E2" s="211">
        <v>28183</v>
      </c>
      <c r="F2" s="201" t="s">
        <v>74</v>
      </c>
      <c r="G2">
        <v>1</v>
      </c>
      <c r="H2">
        <v>1</v>
      </c>
      <c r="I2" s="267">
        <f>AVERAGE(VRHsizing[[#This Row],[FY23 Revenue Hours]:[FY25 Revenue Hours]])</f>
        <v>30908</v>
      </c>
      <c r="K2" s="235">
        <f>VRHsizing[[#This Row],[FY25 Revenue Hours]]-VRHsizing[[#This Row],[FY24 Revenue Hours]]</f>
        <v>-3418</v>
      </c>
      <c r="L2" s="236">
        <f>K2/VRHsizing[[#This Row],[FY24 Revenue Hours]]</f>
        <v>-0.10816113414132464</v>
      </c>
    </row>
    <row r="3" spans="1:12">
      <c r="A3" s="208" t="s">
        <v>76</v>
      </c>
      <c r="B3" s="210">
        <v>7303</v>
      </c>
      <c r="C3" s="210">
        <v>7886</v>
      </c>
      <c r="D3" s="210">
        <v>7605</v>
      </c>
      <c r="E3" s="211">
        <v>7578</v>
      </c>
      <c r="F3" s="201" t="s">
        <v>74</v>
      </c>
      <c r="G3">
        <v>2</v>
      </c>
      <c r="H3">
        <v>5</v>
      </c>
      <c r="I3" s="267">
        <f>AVERAGE(VRHsizing[[#This Row],[FY23 Revenue Hours]:[FY25 Revenue Hours]])</f>
        <v>7689.666666666667</v>
      </c>
      <c r="K3" s="235">
        <f>VRHsizing[[#This Row],[FY25 Revenue Hours]]-VRHsizing[[#This Row],[FY24 Revenue Hours]]</f>
        <v>-27</v>
      </c>
      <c r="L3" s="236">
        <f>K3/VRHsizing[[#This Row],[FY24 Revenue Hours]]</f>
        <v>-3.5502958579881655E-3</v>
      </c>
    </row>
    <row r="4" spans="1:12">
      <c r="A4" s="208" t="s">
        <v>77</v>
      </c>
      <c r="B4" s="211">
        <v>44776</v>
      </c>
      <c r="C4" s="211">
        <v>46711</v>
      </c>
      <c r="D4" s="211">
        <v>48302</v>
      </c>
      <c r="E4" s="211">
        <v>42313</v>
      </c>
      <c r="F4" s="201" t="s">
        <v>74</v>
      </c>
      <c r="G4">
        <v>3</v>
      </c>
      <c r="H4">
        <v>13</v>
      </c>
      <c r="I4" s="267">
        <f>AVERAGE(VRHsizing[[#This Row],[FY23 Revenue Hours]:[FY25 Revenue Hours]])</f>
        <v>45775.333333333336</v>
      </c>
      <c r="K4" s="235">
        <f>VRHsizing[[#This Row],[FY25 Revenue Hours]]-VRHsizing[[#This Row],[FY24 Revenue Hours]]</f>
        <v>-5989</v>
      </c>
      <c r="L4" s="236">
        <f>K4/VRHsizing[[#This Row],[FY24 Revenue Hours]]</f>
        <v>-0.12399072502173823</v>
      </c>
    </row>
    <row r="5" spans="1:12">
      <c r="A5" s="208" t="s">
        <v>78</v>
      </c>
      <c r="B5" s="211">
        <v>40013</v>
      </c>
      <c r="C5" s="211">
        <v>47343</v>
      </c>
      <c r="D5" s="211">
        <v>44163</v>
      </c>
      <c r="E5" s="211">
        <v>43806</v>
      </c>
      <c r="F5" s="201" t="s">
        <v>74</v>
      </c>
      <c r="G5">
        <v>4</v>
      </c>
      <c r="H5">
        <v>23</v>
      </c>
      <c r="I5" s="267">
        <f>AVERAGE(VRHsizing[[#This Row],[FY23 Revenue Hours]:[FY25 Revenue Hours]])</f>
        <v>45104</v>
      </c>
      <c r="K5" s="235">
        <f>VRHsizing[[#This Row],[FY25 Revenue Hours]]-VRHsizing[[#This Row],[FY24 Revenue Hours]]</f>
        <v>-357</v>
      </c>
      <c r="L5" s="236">
        <f>K5/VRHsizing[[#This Row],[FY24 Revenue Hours]]</f>
        <v>-8.0836899667142172E-3</v>
      </c>
    </row>
    <row r="6" spans="1:12">
      <c r="A6" s="208" t="s">
        <v>79</v>
      </c>
      <c r="B6" s="211">
        <v>7979</v>
      </c>
      <c r="C6" s="211">
        <v>8170</v>
      </c>
      <c r="D6" s="211">
        <v>8168</v>
      </c>
      <c r="E6" s="211">
        <v>7975</v>
      </c>
      <c r="F6" s="201" t="s">
        <v>74</v>
      </c>
      <c r="G6">
        <v>5</v>
      </c>
      <c r="H6">
        <v>36</v>
      </c>
      <c r="I6" s="267">
        <f>AVERAGE(VRHsizing[[#This Row],[FY23 Revenue Hours]:[FY25 Revenue Hours]])</f>
        <v>8104.333333333333</v>
      </c>
      <c r="K6" s="235">
        <f>VRHsizing[[#This Row],[FY25 Revenue Hours]]-VRHsizing[[#This Row],[FY24 Revenue Hours]]</f>
        <v>-193</v>
      </c>
      <c r="L6" s="236">
        <f>K6/VRHsizing[[#This Row],[FY24 Revenue Hours]]</f>
        <v>-2.3628795298726739E-2</v>
      </c>
    </row>
    <row r="7" spans="1:12">
      <c r="A7" s="208" t="s">
        <v>81</v>
      </c>
      <c r="B7" s="226">
        <v>94012</v>
      </c>
      <c r="C7" s="226">
        <v>113603</v>
      </c>
      <c r="D7" s="226">
        <v>128069</v>
      </c>
      <c r="E7" s="211">
        <v>144029</v>
      </c>
      <c r="F7" s="201" t="s">
        <v>80</v>
      </c>
      <c r="G7">
        <v>6</v>
      </c>
      <c r="H7">
        <v>4</v>
      </c>
      <c r="I7" s="267">
        <f>AVERAGE(VRHsizing[[#This Row],[FY23 Revenue Hours]:[FY25 Revenue Hours]])</f>
        <v>128567</v>
      </c>
      <c r="K7" s="235">
        <f>VRHsizing[[#This Row],[FY25 Revenue Hours]]-VRHsizing[[#This Row],[FY24 Revenue Hours]]</f>
        <v>15960</v>
      </c>
      <c r="L7" s="236">
        <f>K7/VRHsizing[[#This Row],[FY24 Revenue Hours]]</f>
        <v>0.12462032185774856</v>
      </c>
    </row>
    <row r="8" spans="1:12">
      <c r="A8" s="208" t="s">
        <v>166</v>
      </c>
      <c r="B8" s="211">
        <v>40268</v>
      </c>
      <c r="C8" s="211">
        <v>37181</v>
      </c>
      <c r="D8" s="211">
        <v>38032</v>
      </c>
      <c r="E8" s="211">
        <v>38381</v>
      </c>
      <c r="F8" s="201" t="s">
        <v>82</v>
      </c>
      <c r="G8">
        <v>7</v>
      </c>
      <c r="H8">
        <v>15</v>
      </c>
      <c r="I8" s="267">
        <f>AVERAGE(VRHsizing[[#This Row],[FY23 Revenue Hours]:[FY25 Revenue Hours]])</f>
        <v>37864.666666666664</v>
      </c>
      <c r="K8" s="235">
        <f>VRHsizing[[#This Row],[FY25 Revenue Hours]]-VRHsizing[[#This Row],[FY24 Revenue Hours]]</f>
        <v>349</v>
      </c>
      <c r="L8" s="236">
        <f>K8/VRHsizing[[#This Row],[FY24 Revenue Hours]]</f>
        <v>9.1764829617164492E-3</v>
      </c>
    </row>
    <row r="9" spans="1:12">
      <c r="A9" s="208" t="s">
        <v>85</v>
      </c>
      <c r="B9" s="210">
        <v>21618</v>
      </c>
      <c r="C9" s="210">
        <v>22410</v>
      </c>
      <c r="D9" s="210">
        <v>24727.8</v>
      </c>
      <c r="E9" s="211">
        <v>24537</v>
      </c>
      <c r="F9" s="201" t="s">
        <v>84</v>
      </c>
      <c r="G9">
        <v>8</v>
      </c>
      <c r="H9">
        <v>9</v>
      </c>
      <c r="I9" s="267">
        <f>AVERAGE(VRHsizing[[#This Row],[FY23 Revenue Hours]:[FY25 Revenue Hours]])</f>
        <v>23891.600000000002</v>
      </c>
      <c r="K9" s="235">
        <f>VRHsizing[[#This Row],[FY25 Revenue Hours]]-VRHsizing[[#This Row],[FY24 Revenue Hours]]</f>
        <v>-190.79999999999927</v>
      </c>
      <c r="L9" s="236">
        <f>K9/VRHsizing[[#This Row],[FY24 Revenue Hours]]</f>
        <v>-7.7160119379807053E-3</v>
      </c>
    </row>
    <row r="10" spans="1:12">
      <c r="A10" s="208" t="s">
        <v>86</v>
      </c>
      <c r="B10" s="211">
        <v>3090</v>
      </c>
      <c r="C10" s="211">
        <v>3108</v>
      </c>
      <c r="D10" s="211">
        <v>2826</v>
      </c>
      <c r="E10" s="211">
        <v>3025</v>
      </c>
      <c r="F10" s="201" t="s">
        <v>84</v>
      </c>
      <c r="G10">
        <v>9</v>
      </c>
      <c r="H10">
        <v>19</v>
      </c>
      <c r="I10" s="267">
        <f>AVERAGE(VRHsizing[[#This Row],[FY23 Revenue Hours]:[FY25 Revenue Hours]])</f>
        <v>2986.3333333333335</v>
      </c>
      <c r="K10" s="235">
        <f>VRHsizing[[#This Row],[FY25 Revenue Hours]]-VRHsizing[[#This Row],[FY24 Revenue Hours]]</f>
        <v>199</v>
      </c>
      <c r="L10" s="236">
        <f>K10/VRHsizing[[#This Row],[FY24 Revenue Hours]]</f>
        <v>7.0417551309271048E-2</v>
      </c>
    </row>
    <row r="11" spans="1:12">
      <c r="A11" s="208" t="s">
        <v>87</v>
      </c>
      <c r="B11" s="211">
        <v>886831</v>
      </c>
      <c r="C11" s="211">
        <v>955047</v>
      </c>
      <c r="D11" s="211">
        <v>1002985.3500000001</v>
      </c>
      <c r="E11" s="211">
        <v>935916</v>
      </c>
      <c r="F11" s="201" t="s">
        <v>84</v>
      </c>
      <c r="G11">
        <v>10</v>
      </c>
      <c r="H11">
        <v>20</v>
      </c>
      <c r="I11" s="267">
        <f>AVERAGE(VRHsizing[[#This Row],[FY23 Revenue Hours]:[FY25 Revenue Hours]])</f>
        <v>964649.45000000007</v>
      </c>
      <c r="K11" s="235">
        <f>VRHsizing[[#This Row],[FY25 Revenue Hours]]-VRHsizing[[#This Row],[FY24 Revenue Hours]]</f>
        <v>-67069.350000000093</v>
      </c>
      <c r="L11" s="236">
        <f>K11/VRHsizing[[#This Row],[FY24 Revenue Hours]]</f>
        <v>-6.6869720479965228E-2</v>
      </c>
    </row>
    <row r="12" spans="1:12">
      <c r="A12" s="208" t="s">
        <v>88</v>
      </c>
      <c r="B12" s="211">
        <v>20345</v>
      </c>
      <c r="C12" s="211">
        <v>20260</v>
      </c>
      <c r="D12" s="211">
        <v>20119</v>
      </c>
      <c r="E12" s="211">
        <v>21730</v>
      </c>
      <c r="F12" s="201" t="s">
        <v>84</v>
      </c>
      <c r="G12">
        <v>11</v>
      </c>
      <c r="H12">
        <v>31</v>
      </c>
      <c r="I12" s="267">
        <f>AVERAGE(VRHsizing[[#This Row],[FY23 Revenue Hours]:[FY25 Revenue Hours]])</f>
        <v>20703</v>
      </c>
      <c r="K12" s="235">
        <f>VRHsizing[[#This Row],[FY25 Revenue Hours]]-VRHsizing[[#This Row],[FY24 Revenue Hours]]</f>
        <v>1611</v>
      </c>
      <c r="L12" s="236">
        <f>K12/VRHsizing[[#This Row],[FY24 Revenue Hours]]</f>
        <v>8.0073562304289483E-2</v>
      </c>
    </row>
    <row r="13" spans="1:12">
      <c r="A13" s="208" t="s">
        <v>89</v>
      </c>
      <c r="B13" s="211">
        <v>880</v>
      </c>
      <c r="C13" s="211">
        <v>502</v>
      </c>
      <c r="D13" s="211">
        <v>1389</v>
      </c>
      <c r="E13" s="211">
        <v>953</v>
      </c>
      <c r="F13" s="201" t="s">
        <v>84</v>
      </c>
      <c r="G13">
        <v>12</v>
      </c>
      <c r="H13">
        <v>37</v>
      </c>
      <c r="I13" s="267">
        <f>AVERAGE(VRHsizing[[#This Row],[FY23 Revenue Hours]:[FY25 Revenue Hours]])</f>
        <v>948</v>
      </c>
      <c r="K13" s="235">
        <f>VRHsizing[[#This Row],[FY25 Revenue Hours]]-VRHsizing[[#This Row],[FY24 Revenue Hours]]</f>
        <v>-436</v>
      </c>
      <c r="L13" s="236">
        <f>K13/VRHsizing[[#This Row],[FY24 Revenue Hours]]</f>
        <v>-0.31389488840892726</v>
      </c>
    </row>
    <row r="14" spans="1:12">
      <c r="A14" s="208" t="s">
        <v>90</v>
      </c>
      <c r="B14" s="211">
        <v>79332</v>
      </c>
      <c r="C14" s="211">
        <v>71283</v>
      </c>
      <c r="D14" s="211">
        <v>68607</v>
      </c>
      <c r="E14" s="211">
        <v>69229</v>
      </c>
      <c r="F14" s="201" t="s">
        <v>84</v>
      </c>
      <c r="G14">
        <v>13</v>
      </c>
      <c r="H14">
        <v>39</v>
      </c>
      <c r="I14" s="267">
        <f>AVERAGE(VRHsizing[[#This Row],[FY23 Revenue Hours]:[FY25 Revenue Hours]])</f>
        <v>69706.333333333328</v>
      </c>
      <c r="K14" s="235">
        <f>VRHsizing[[#This Row],[FY25 Revenue Hours]]-VRHsizing[[#This Row],[FY24 Revenue Hours]]</f>
        <v>622</v>
      </c>
      <c r="L14" s="236">
        <f>K14/VRHsizing[[#This Row],[FY24 Revenue Hours]]</f>
        <v>9.0661302782514899E-3</v>
      </c>
    </row>
    <row r="15" spans="1:12">
      <c r="A15" s="208" t="s">
        <v>92</v>
      </c>
      <c r="B15" s="211">
        <v>35273</v>
      </c>
      <c r="C15" s="211">
        <v>29937</v>
      </c>
      <c r="D15" s="211">
        <v>34940</v>
      </c>
      <c r="E15" s="211">
        <v>32391</v>
      </c>
      <c r="F15" s="201" t="s">
        <v>91</v>
      </c>
      <c r="G15">
        <v>14</v>
      </c>
      <c r="H15">
        <v>12</v>
      </c>
      <c r="I15" s="267">
        <f>AVERAGE(VRHsizing[[#This Row],[FY23 Revenue Hours]:[FY25 Revenue Hours]])</f>
        <v>32422.666666666668</v>
      </c>
      <c r="K15" s="235">
        <f>VRHsizing[[#This Row],[FY25 Revenue Hours]]-VRHsizing[[#This Row],[FY24 Revenue Hours]]</f>
        <v>-2549</v>
      </c>
      <c r="L15" s="236">
        <f>K15/VRHsizing[[#This Row],[FY24 Revenue Hours]]</f>
        <v>-7.2953634802518597E-2</v>
      </c>
    </row>
    <row r="16" spans="1:12">
      <c r="A16" s="208" t="s">
        <v>93</v>
      </c>
      <c r="B16" s="211">
        <v>11837</v>
      </c>
      <c r="C16" s="211">
        <v>11560</v>
      </c>
      <c r="D16" s="211">
        <v>11193</v>
      </c>
      <c r="E16" s="211">
        <v>11641</v>
      </c>
      <c r="F16" s="201" t="s">
        <v>91</v>
      </c>
      <c r="G16">
        <v>15</v>
      </c>
      <c r="H16">
        <v>14</v>
      </c>
      <c r="I16" s="267">
        <f>AVERAGE(VRHsizing[[#This Row],[FY23 Revenue Hours]:[FY25 Revenue Hours]])</f>
        <v>11464.666666666666</v>
      </c>
      <c r="K16" s="235">
        <f>VRHsizing[[#This Row],[FY25 Revenue Hours]]-VRHsizing[[#This Row],[FY24 Revenue Hours]]</f>
        <v>448</v>
      </c>
      <c r="L16" s="236">
        <f>K16/VRHsizing[[#This Row],[FY24 Revenue Hours]]</f>
        <v>4.0025015634771732E-2</v>
      </c>
    </row>
    <row r="17" spans="1:12">
      <c r="A17" s="208" t="s">
        <v>94</v>
      </c>
      <c r="B17" s="211">
        <v>74332</v>
      </c>
      <c r="C17" s="211">
        <v>79599</v>
      </c>
      <c r="D17" s="211">
        <v>80007.260000000009</v>
      </c>
      <c r="E17" s="211">
        <v>82740</v>
      </c>
      <c r="F17" s="201" t="s">
        <v>91</v>
      </c>
      <c r="G17">
        <v>16</v>
      </c>
      <c r="H17">
        <v>16</v>
      </c>
      <c r="I17" s="267">
        <f>AVERAGE(VRHsizing[[#This Row],[FY23 Revenue Hours]:[FY25 Revenue Hours]])</f>
        <v>80782.08666666667</v>
      </c>
      <c r="K17" s="235">
        <f>VRHsizing[[#This Row],[FY25 Revenue Hours]]-VRHsizing[[#This Row],[FY24 Revenue Hours]]</f>
        <v>2732.7399999999907</v>
      </c>
      <c r="L17" s="236">
        <f>K17/VRHsizing[[#This Row],[FY24 Revenue Hours]]</f>
        <v>3.4156150329357489E-2</v>
      </c>
    </row>
    <row r="18" spans="1:12">
      <c r="A18" s="208" t="s">
        <v>95</v>
      </c>
      <c r="B18" s="211">
        <v>3043</v>
      </c>
      <c r="C18" s="211">
        <v>3028</v>
      </c>
      <c r="D18" s="211">
        <v>3004</v>
      </c>
      <c r="E18" s="211">
        <v>3083</v>
      </c>
      <c r="F18" s="201" t="s">
        <v>91</v>
      </c>
      <c r="G18">
        <v>17</v>
      </c>
      <c r="H18">
        <v>32</v>
      </c>
      <c r="I18" s="267">
        <f>AVERAGE(VRHsizing[[#This Row],[FY23 Revenue Hours]:[FY25 Revenue Hours]])</f>
        <v>3038.3333333333335</v>
      </c>
      <c r="K18" s="235">
        <f>VRHsizing[[#This Row],[FY25 Revenue Hours]]-VRHsizing[[#This Row],[FY24 Revenue Hours]]</f>
        <v>79</v>
      </c>
      <c r="L18" s="236">
        <f>K18/VRHsizing[[#This Row],[FY24 Revenue Hours]]</f>
        <v>2.62982689747004E-2</v>
      </c>
    </row>
    <row r="19" spans="1:12">
      <c r="A19" s="208" t="s">
        <v>165</v>
      </c>
      <c r="B19" s="226">
        <f>88663+10112</f>
        <v>98775</v>
      </c>
      <c r="C19" s="226">
        <f>108286+10206</f>
        <v>118492</v>
      </c>
      <c r="D19" s="226">
        <f>160073+12922.92</f>
        <v>172995.92</v>
      </c>
      <c r="E19" s="233">
        <f>171928+16940</f>
        <v>188868</v>
      </c>
      <c r="F19" s="201" t="s">
        <v>96</v>
      </c>
      <c r="G19">
        <v>18</v>
      </c>
      <c r="H19">
        <v>11</v>
      </c>
      <c r="I19" s="267">
        <f>AVERAGE(VRHsizing[[#This Row],[FY23 Revenue Hours]:[FY25 Revenue Hours]])</f>
        <v>160118.64000000001</v>
      </c>
      <c r="K19" s="235">
        <f>VRHsizing[[#This Row],[FY25 Revenue Hours]]-VRHsizing[[#This Row],[FY24 Revenue Hours]]</f>
        <v>15872.079999999987</v>
      </c>
      <c r="L19" s="236">
        <f>K19/VRHsizing[[#This Row],[FY24 Revenue Hours]]</f>
        <v>9.1748290942352775E-2</v>
      </c>
    </row>
    <row r="20" spans="1:12">
      <c r="A20" s="208" t="s">
        <v>98</v>
      </c>
      <c r="B20" s="211">
        <v>204460</v>
      </c>
      <c r="C20" s="211">
        <v>216250</v>
      </c>
      <c r="D20" s="211">
        <v>230883</v>
      </c>
      <c r="E20" s="211">
        <v>225969</v>
      </c>
      <c r="F20" s="201" t="s">
        <v>96</v>
      </c>
      <c r="G20">
        <v>19</v>
      </c>
      <c r="H20">
        <v>24</v>
      </c>
      <c r="I20" s="267">
        <f>AVERAGE(VRHsizing[[#This Row],[FY23 Revenue Hours]:[FY25 Revenue Hours]])</f>
        <v>224367.33333333334</v>
      </c>
      <c r="K20" s="235">
        <f>VRHsizing[[#This Row],[FY25 Revenue Hours]]-VRHsizing[[#This Row],[FY24 Revenue Hours]]</f>
        <v>-4914</v>
      </c>
      <c r="L20" s="236">
        <f>K20/VRHsizing[[#This Row],[FY24 Revenue Hours]]</f>
        <v>-2.128350723093515E-2</v>
      </c>
    </row>
    <row r="21" spans="1:12">
      <c r="A21" s="208" t="s">
        <v>99</v>
      </c>
      <c r="B21" s="211">
        <v>276476</v>
      </c>
      <c r="C21" s="211">
        <v>310607</v>
      </c>
      <c r="D21" s="211">
        <v>308856.31</v>
      </c>
      <c r="E21" s="211">
        <v>318474</v>
      </c>
      <c r="F21" s="201" t="s">
        <v>96</v>
      </c>
      <c r="G21">
        <v>20</v>
      </c>
      <c r="H21">
        <v>25</v>
      </c>
      <c r="I21" s="267">
        <f>AVERAGE(VRHsizing[[#This Row],[FY23 Revenue Hours]:[FY25 Revenue Hours]])</f>
        <v>312645.77</v>
      </c>
      <c r="K21" s="235">
        <f>VRHsizing[[#This Row],[FY25 Revenue Hours]]-VRHsizing[[#This Row],[FY24 Revenue Hours]]</f>
        <v>9617.6900000000023</v>
      </c>
      <c r="L21" s="236">
        <f>K21/VRHsizing[[#This Row],[FY24 Revenue Hours]]</f>
        <v>3.113969081609504E-2</v>
      </c>
    </row>
    <row r="22" spans="1:12">
      <c r="A22" s="208" t="s">
        <v>100</v>
      </c>
      <c r="B22" s="211">
        <v>35046</v>
      </c>
      <c r="C22" s="211">
        <v>34638</v>
      </c>
      <c r="D22" s="211">
        <v>34526</v>
      </c>
      <c r="E22" s="211">
        <v>34553</v>
      </c>
      <c r="F22" s="201" t="s">
        <v>96</v>
      </c>
      <c r="G22">
        <v>21</v>
      </c>
      <c r="H22">
        <v>26</v>
      </c>
      <c r="I22" s="267">
        <f>AVERAGE(VRHsizing[[#This Row],[FY23 Revenue Hours]:[FY25 Revenue Hours]])</f>
        <v>34572.333333333336</v>
      </c>
      <c r="K22" s="235">
        <f>VRHsizing[[#This Row],[FY25 Revenue Hours]]-VRHsizing[[#This Row],[FY24 Revenue Hours]]</f>
        <v>27</v>
      </c>
      <c r="L22" s="236">
        <f>K22/VRHsizing[[#This Row],[FY24 Revenue Hours]]</f>
        <v>7.8201934773793665E-4</v>
      </c>
    </row>
    <row r="23" spans="1:12">
      <c r="A23" s="208" t="s">
        <v>101</v>
      </c>
      <c r="B23" s="226">
        <f>840428+2521</f>
        <v>842949</v>
      </c>
      <c r="C23" s="211">
        <v>848788</v>
      </c>
      <c r="D23" s="211">
        <v>819202.73699999996</v>
      </c>
      <c r="E23" s="211">
        <v>879010</v>
      </c>
      <c r="F23" s="201" t="s">
        <v>96</v>
      </c>
      <c r="G23">
        <v>22</v>
      </c>
      <c r="H23">
        <v>27</v>
      </c>
      <c r="I23" s="267">
        <f>AVERAGE(VRHsizing[[#This Row],[FY23 Revenue Hours]:[FY25 Revenue Hours]])</f>
        <v>849000.24566666654</v>
      </c>
      <c r="K23" s="235">
        <f>VRHsizing[[#This Row],[FY25 Revenue Hours]]-VRHsizing[[#This Row],[FY24 Revenue Hours]]</f>
        <v>59807.263000000035</v>
      </c>
      <c r="L23" s="236">
        <f>K23/VRHsizing[[#This Row],[FY24 Revenue Hours]]</f>
        <v>7.3006668921810541E-2</v>
      </c>
    </row>
    <row r="24" spans="1:12">
      <c r="A24" s="208" t="s">
        <v>102</v>
      </c>
      <c r="B24" s="226">
        <f>147080+71220</f>
        <v>218300</v>
      </c>
      <c r="C24" s="226">
        <f>142232+57989</f>
        <v>200221</v>
      </c>
      <c r="D24" s="226">
        <f>174456.2+62202</f>
        <v>236658.2</v>
      </c>
      <c r="E24" s="233">
        <f>196723.520019498+66989</f>
        <v>263712.52001949801</v>
      </c>
      <c r="F24" s="201" t="s">
        <v>96</v>
      </c>
      <c r="G24">
        <v>23</v>
      </c>
      <c r="H24">
        <v>28</v>
      </c>
      <c r="I24" s="267">
        <f>AVERAGE(VRHsizing[[#This Row],[FY23 Revenue Hours]:[FY25 Revenue Hours]])</f>
        <v>233530.57333983268</v>
      </c>
      <c r="K24" s="235">
        <f>VRHsizing[[#This Row],[FY25 Revenue Hours]]-VRHsizing[[#This Row],[FY24 Revenue Hours]]</f>
        <v>27054.320019498002</v>
      </c>
      <c r="L24" s="236">
        <f>K24/VRHsizing[[#This Row],[FY24 Revenue Hours]]</f>
        <v>0.11431811794181651</v>
      </c>
    </row>
    <row r="25" spans="1:12">
      <c r="A25" s="208" t="s">
        <v>104</v>
      </c>
      <c r="B25" s="211">
        <v>47286</v>
      </c>
      <c r="C25" s="211">
        <v>43849</v>
      </c>
      <c r="D25" s="211">
        <v>41575</v>
      </c>
      <c r="E25" s="211">
        <v>44373</v>
      </c>
      <c r="F25" s="201" t="s">
        <v>103</v>
      </c>
      <c r="G25">
        <v>24</v>
      </c>
      <c r="H25">
        <v>7</v>
      </c>
      <c r="I25" s="267">
        <f>AVERAGE(VRHsizing[[#This Row],[FY23 Revenue Hours]:[FY25 Revenue Hours]])</f>
        <v>43265.666666666664</v>
      </c>
      <c r="K25" s="235">
        <f>VRHsizing[[#This Row],[FY25 Revenue Hours]]-VRHsizing[[#This Row],[FY24 Revenue Hours]]</f>
        <v>2798</v>
      </c>
      <c r="L25" s="236">
        <f>K25/VRHsizing[[#This Row],[FY24 Revenue Hours]]</f>
        <v>6.7300060132291034E-2</v>
      </c>
    </row>
    <row r="26" spans="1:12">
      <c r="A26" s="208" t="s">
        <v>105</v>
      </c>
      <c r="B26" s="211">
        <v>589217</v>
      </c>
      <c r="C26" s="226">
        <f>582073+1652</f>
        <v>583725</v>
      </c>
      <c r="D26" s="226">
        <f>631194+2456.79</f>
        <v>633650.79</v>
      </c>
      <c r="E26" s="233">
        <f>735603+646</f>
        <v>736249</v>
      </c>
      <c r="F26" s="201" t="s">
        <v>103</v>
      </c>
      <c r="G26">
        <v>25</v>
      </c>
      <c r="H26">
        <v>17</v>
      </c>
      <c r="I26" s="267">
        <f>AVERAGE(VRHsizing[[#This Row],[FY23 Revenue Hours]:[FY25 Revenue Hours]])</f>
        <v>651208.26333333331</v>
      </c>
      <c r="K26" s="235">
        <f>VRHsizing[[#This Row],[FY25 Revenue Hours]]-VRHsizing[[#This Row],[FY24 Revenue Hours]]</f>
        <v>102598.20999999996</v>
      </c>
      <c r="L26" s="236">
        <f>K26/VRHsizing[[#This Row],[FY24 Revenue Hours]]</f>
        <v>0.16191601370843386</v>
      </c>
    </row>
    <row r="27" spans="1:12">
      <c r="A27" s="208" t="s">
        <v>173</v>
      </c>
      <c r="B27" s="211">
        <v>0</v>
      </c>
      <c r="C27" s="211">
        <v>1065</v>
      </c>
      <c r="D27" s="211">
        <v>1636</v>
      </c>
      <c r="E27" s="211">
        <v>1600</v>
      </c>
      <c r="F27" s="201" t="s">
        <v>106</v>
      </c>
      <c r="G27">
        <v>26</v>
      </c>
      <c r="H27">
        <v>33</v>
      </c>
      <c r="I27" s="267">
        <f>AVERAGE(VRHsizing[[#This Row],[FY23 Revenue Hours]:[FY25 Revenue Hours]])</f>
        <v>1433.6666666666667</v>
      </c>
      <c r="K27" s="235">
        <f>VRHsizing[[#This Row],[FY25 Revenue Hours]]-VRHsizing[[#This Row],[FY24 Revenue Hours]]</f>
        <v>-36</v>
      </c>
      <c r="L27" s="236">
        <f>K27/VRHsizing[[#This Row],[FY24 Revenue Hours]]</f>
        <v>-2.2004889975550123E-2</v>
      </c>
    </row>
    <row r="28" spans="1:12">
      <c r="A28" s="208" t="s">
        <v>170</v>
      </c>
      <c r="B28" s="211">
        <v>100136</v>
      </c>
      <c r="C28" s="211">
        <v>92885</v>
      </c>
      <c r="D28" s="211">
        <v>99331.900000000009</v>
      </c>
      <c r="E28" s="211">
        <v>121490</v>
      </c>
      <c r="F28" s="201" t="s">
        <v>106</v>
      </c>
      <c r="G28">
        <v>27</v>
      </c>
      <c r="H28">
        <v>34</v>
      </c>
      <c r="I28" s="267">
        <f>AVERAGE(VRHsizing[[#This Row],[FY23 Revenue Hours]:[FY25 Revenue Hours]])</f>
        <v>104568.96666666667</v>
      </c>
      <c r="K28" s="235">
        <f>VRHsizing[[#This Row],[FY25 Revenue Hours]]-VRHsizing[[#This Row],[FY24 Revenue Hours]]</f>
        <v>22158.099999999991</v>
      </c>
      <c r="L28" s="236">
        <f>K28/VRHsizing[[#This Row],[FY24 Revenue Hours]]</f>
        <v>0.22307133962000111</v>
      </c>
    </row>
    <row r="29" spans="1:12">
      <c r="A29" s="208" t="s">
        <v>108</v>
      </c>
      <c r="B29" s="211">
        <v>31063</v>
      </c>
      <c r="C29" s="211">
        <v>32095</v>
      </c>
      <c r="D29" s="211">
        <v>36673.339999999997</v>
      </c>
      <c r="E29" s="211">
        <v>35518.39</v>
      </c>
      <c r="F29" s="201" t="s">
        <v>106</v>
      </c>
      <c r="G29">
        <v>28</v>
      </c>
      <c r="H29">
        <v>8</v>
      </c>
      <c r="I29" s="267">
        <f>AVERAGE(VRHsizing[[#This Row],[FY23 Revenue Hours]:[FY25 Revenue Hours]])</f>
        <v>34762.243333333332</v>
      </c>
      <c r="K29" s="235">
        <f>VRHsizing[[#This Row],[FY25 Revenue Hours]]-VRHsizing[[#This Row],[FY24 Revenue Hours]]</f>
        <v>-1154.9499999999971</v>
      </c>
      <c r="L29" s="236">
        <f>K29/VRHsizing[[#This Row],[FY24 Revenue Hours]]</f>
        <v>-3.1492904654989079E-2</v>
      </c>
    </row>
    <row r="30" spans="1:12">
      <c r="A30" s="208" t="s">
        <v>109</v>
      </c>
      <c r="B30" s="211">
        <v>155800</v>
      </c>
      <c r="C30" s="211">
        <v>141516</v>
      </c>
      <c r="D30" s="211">
        <v>143067</v>
      </c>
      <c r="E30" s="211">
        <v>156195</v>
      </c>
      <c r="F30" s="201" t="s">
        <v>106</v>
      </c>
      <c r="G30">
        <v>29</v>
      </c>
      <c r="H30">
        <v>18</v>
      </c>
      <c r="I30" s="267">
        <f>AVERAGE(VRHsizing[[#This Row],[FY23 Revenue Hours]:[FY25 Revenue Hours]])</f>
        <v>146926</v>
      </c>
      <c r="K30" s="235">
        <f>VRHsizing[[#This Row],[FY25 Revenue Hours]]-VRHsizing[[#This Row],[FY24 Revenue Hours]]</f>
        <v>13128</v>
      </c>
      <c r="L30" s="236">
        <f>K30/VRHsizing[[#This Row],[FY24 Revenue Hours]]</f>
        <v>9.1761202793096935E-2</v>
      </c>
    </row>
    <row r="31" spans="1:12">
      <c r="A31" s="208" t="s">
        <v>110</v>
      </c>
      <c r="B31" s="211">
        <v>19090</v>
      </c>
      <c r="C31" s="211">
        <v>18878</v>
      </c>
      <c r="D31" s="211">
        <v>18710.25</v>
      </c>
      <c r="E31" s="211">
        <v>18376</v>
      </c>
      <c r="F31" s="201" t="s">
        <v>106</v>
      </c>
      <c r="G31">
        <v>30</v>
      </c>
      <c r="H31">
        <v>29</v>
      </c>
      <c r="I31" s="267">
        <f>AVERAGE(VRHsizing[[#This Row],[FY23 Revenue Hours]:[FY25 Revenue Hours]])</f>
        <v>18654.75</v>
      </c>
      <c r="K31" s="235">
        <f>VRHsizing[[#This Row],[FY25 Revenue Hours]]-VRHsizing[[#This Row],[FY24 Revenue Hours]]</f>
        <v>-334.25</v>
      </c>
      <c r="L31" s="236">
        <f>K31/VRHsizing[[#This Row],[FY24 Revenue Hours]]</f>
        <v>-1.7864539490386286E-2</v>
      </c>
    </row>
    <row r="32" spans="1:12">
      <c r="A32" s="208" t="s">
        <v>112</v>
      </c>
      <c r="B32" s="211">
        <v>36937</v>
      </c>
      <c r="C32" s="211">
        <v>37781</v>
      </c>
      <c r="D32" s="211">
        <v>36534.629999999997</v>
      </c>
      <c r="E32" s="211">
        <v>36644</v>
      </c>
      <c r="F32" s="201" t="s">
        <v>111</v>
      </c>
      <c r="G32">
        <v>31</v>
      </c>
      <c r="H32">
        <v>3</v>
      </c>
      <c r="I32" s="267">
        <f>AVERAGE(VRHsizing[[#This Row],[FY23 Revenue Hours]:[FY25 Revenue Hours]])</f>
        <v>36986.543333333335</v>
      </c>
      <c r="K32" s="235">
        <f>VRHsizing[[#This Row],[FY25 Revenue Hours]]-VRHsizing[[#This Row],[FY24 Revenue Hours]]</f>
        <v>109.37000000000262</v>
      </c>
      <c r="L32" s="236">
        <f>K32/VRHsizing[[#This Row],[FY24 Revenue Hours]]</f>
        <v>2.9935981286796287E-3</v>
      </c>
    </row>
    <row r="33" spans="1:12">
      <c r="A33" s="208" t="s">
        <v>113</v>
      </c>
      <c r="B33" s="211">
        <v>74536</v>
      </c>
      <c r="C33" s="211">
        <v>72014</v>
      </c>
      <c r="D33" s="211">
        <v>76614</v>
      </c>
      <c r="E33" s="211">
        <v>78270</v>
      </c>
      <c r="F33" s="201" t="s">
        <v>111</v>
      </c>
      <c r="G33">
        <v>32</v>
      </c>
      <c r="H33">
        <v>6</v>
      </c>
      <c r="I33" s="267">
        <f>AVERAGE(VRHsizing[[#This Row],[FY23 Revenue Hours]:[FY25 Revenue Hours]])</f>
        <v>75632.666666666672</v>
      </c>
      <c r="K33" s="235">
        <f>VRHsizing[[#This Row],[FY25 Revenue Hours]]-VRHsizing[[#This Row],[FY24 Revenue Hours]]</f>
        <v>1656</v>
      </c>
      <c r="L33" s="236">
        <f>K33/VRHsizing[[#This Row],[FY24 Revenue Hours]]</f>
        <v>2.1614848461116769E-2</v>
      </c>
    </row>
    <row r="34" spans="1:12">
      <c r="A34" s="208" t="s">
        <v>114</v>
      </c>
      <c r="B34" s="211">
        <v>17310</v>
      </c>
      <c r="C34" s="211">
        <v>20219</v>
      </c>
      <c r="D34" s="211">
        <v>25268</v>
      </c>
      <c r="E34" s="211">
        <v>27972</v>
      </c>
      <c r="F34" s="201" t="s">
        <v>111</v>
      </c>
      <c r="G34">
        <v>33</v>
      </c>
      <c r="H34">
        <v>10</v>
      </c>
      <c r="I34" s="267">
        <f>AVERAGE(VRHsizing[[#This Row],[FY23 Revenue Hours]:[FY25 Revenue Hours]])</f>
        <v>24486.333333333332</v>
      </c>
      <c r="K34" s="235">
        <f>VRHsizing[[#This Row],[FY25 Revenue Hours]]-VRHsizing[[#This Row],[FY24 Revenue Hours]]</f>
        <v>2704</v>
      </c>
      <c r="L34" s="236">
        <f>K34/VRHsizing[[#This Row],[FY24 Revenue Hours]]</f>
        <v>0.10701282254234605</v>
      </c>
    </row>
    <row r="35" spans="1:12">
      <c r="A35" s="208" t="s">
        <v>116</v>
      </c>
      <c r="B35" s="211">
        <v>60586</v>
      </c>
      <c r="C35" s="211">
        <v>61652</v>
      </c>
      <c r="D35" s="211">
        <v>61710.71</v>
      </c>
      <c r="E35" s="211">
        <v>59749</v>
      </c>
      <c r="F35" s="201" t="s">
        <v>115</v>
      </c>
      <c r="G35">
        <v>34</v>
      </c>
      <c r="H35">
        <v>2</v>
      </c>
      <c r="I35" s="267">
        <f>AVERAGE(VRHsizing[[#This Row],[FY23 Revenue Hours]:[FY25 Revenue Hours]])</f>
        <v>61037.236666666664</v>
      </c>
      <c r="K35" s="235">
        <f>VRHsizing[[#This Row],[FY25 Revenue Hours]]-VRHsizing[[#This Row],[FY24 Revenue Hours]]</f>
        <v>-1961.7099999999991</v>
      </c>
      <c r="L35" s="236">
        <f>K35/VRHsizing[[#This Row],[FY24 Revenue Hours]]</f>
        <v>-3.1788809430324153E-2</v>
      </c>
    </row>
    <row r="36" spans="1:12">
      <c r="A36" s="208" t="s">
        <v>171</v>
      </c>
      <c r="B36" s="211">
        <v>15570</v>
      </c>
      <c r="C36" s="211">
        <v>15538</v>
      </c>
      <c r="D36" s="211">
        <v>15534</v>
      </c>
      <c r="E36" s="211">
        <v>14739</v>
      </c>
      <c r="F36" s="201" t="s">
        <v>115</v>
      </c>
      <c r="G36">
        <v>35</v>
      </c>
      <c r="H36">
        <v>35</v>
      </c>
      <c r="I36" s="267">
        <f>AVERAGE(VRHsizing[[#This Row],[FY23 Revenue Hours]:[FY25 Revenue Hours]])</f>
        <v>15270.333333333334</v>
      </c>
      <c r="K36" s="235">
        <f>VRHsizing[[#This Row],[FY25 Revenue Hours]]-VRHsizing[[#This Row],[FY24 Revenue Hours]]</f>
        <v>-795</v>
      </c>
      <c r="L36" s="236">
        <f>K36/VRHsizing[[#This Row],[FY24 Revenue Hours]]</f>
        <v>-5.1178061027423713E-2</v>
      </c>
    </row>
    <row r="37" spans="1:12">
      <c r="A37" s="208" t="s">
        <v>167</v>
      </c>
      <c r="B37" s="226">
        <v>39833</v>
      </c>
      <c r="C37" s="226">
        <v>46573</v>
      </c>
      <c r="D37" s="226">
        <v>46101.396664300002</v>
      </c>
      <c r="E37" s="211">
        <v>45862</v>
      </c>
      <c r="F37" s="201" t="s">
        <v>115</v>
      </c>
      <c r="G37">
        <v>36</v>
      </c>
      <c r="H37">
        <v>21</v>
      </c>
      <c r="I37" s="267">
        <f>AVERAGE(VRHsizing[[#This Row],[FY23 Revenue Hours]:[FY25 Revenue Hours]])</f>
        <v>46178.798888099998</v>
      </c>
      <c r="K37" s="235">
        <f>VRHsizing[[#This Row],[FY25 Revenue Hours]]-VRHsizing[[#This Row],[FY24 Revenue Hours]]</f>
        <v>-239.39666430000216</v>
      </c>
      <c r="L37" s="236">
        <f>K37/VRHsizing[[#This Row],[FY24 Revenue Hours]]</f>
        <v>-5.1928288863618338E-3</v>
      </c>
    </row>
    <row r="38" spans="1:12">
      <c r="A38" s="208" t="s">
        <v>168</v>
      </c>
      <c r="B38" s="211">
        <v>5390</v>
      </c>
      <c r="C38" s="211">
        <v>5322</v>
      </c>
      <c r="D38" s="211">
        <v>5064</v>
      </c>
      <c r="E38" s="211">
        <v>5116</v>
      </c>
      <c r="F38" s="201" t="s">
        <v>115</v>
      </c>
      <c r="G38">
        <v>37</v>
      </c>
      <c r="H38">
        <v>22</v>
      </c>
      <c r="I38" s="267">
        <f>AVERAGE(VRHsizing[[#This Row],[FY23 Revenue Hours]:[FY25 Revenue Hours]])</f>
        <v>5167.333333333333</v>
      </c>
      <c r="K38" s="235">
        <f>VRHsizing[[#This Row],[FY25 Revenue Hours]]-VRHsizing[[#This Row],[FY24 Revenue Hours]]</f>
        <v>52</v>
      </c>
      <c r="L38" s="236">
        <f>K38/VRHsizing[[#This Row],[FY24 Revenue Hours]]</f>
        <v>1.0268562401263823E-2</v>
      </c>
    </row>
    <row r="39" spans="1:12">
      <c r="A39" s="208" t="s">
        <v>169</v>
      </c>
      <c r="B39" s="211">
        <v>18141</v>
      </c>
      <c r="C39" s="211">
        <v>18247</v>
      </c>
      <c r="D39" s="211">
        <v>18443</v>
      </c>
      <c r="E39" s="211">
        <v>17965</v>
      </c>
      <c r="F39" s="201" t="s">
        <v>115</v>
      </c>
      <c r="G39">
        <v>38</v>
      </c>
      <c r="H39">
        <v>30</v>
      </c>
      <c r="I39" s="267">
        <f>AVERAGE(VRHsizing[[#This Row],[FY23 Revenue Hours]:[FY25 Revenue Hours]])</f>
        <v>18218.333333333332</v>
      </c>
      <c r="K39" s="235">
        <f>VRHsizing[[#This Row],[FY25 Revenue Hours]]-VRHsizing[[#This Row],[FY24 Revenue Hours]]</f>
        <v>-478</v>
      </c>
      <c r="L39" s="236">
        <f>K39/VRHsizing[[#This Row],[FY24 Revenue Hours]]</f>
        <v>-2.5917692349400858E-2</v>
      </c>
    </row>
    <row r="40" spans="1:12">
      <c r="A40" s="208" t="s">
        <v>172</v>
      </c>
      <c r="B40" s="211">
        <v>60519</v>
      </c>
      <c r="C40" s="226">
        <v>63759</v>
      </c>
      <c r="D40" s="211">
        <v>63064.05</v>
      </c>
      <c r="E40" s="211">
        <v>65376</v>
      </c>
      <c r="F40" s="201" t="s">
        <v>115</v>
      </c>
      <c r="G40">
        <v>39</v>
      </c>
      <c r="H40">
        <v>38</v>
      </c>
      <c r="I40" s="267">
        <f>AVERAGE(VRHsizing[[#This Row],[FY23 Revenue Hours]:[FY25 Revenue Hours]])</f>
        <v>64066.35</v>
      </c>
      <c r="K40" s="235">
        <f>VRHsizing[[#This Row],[FY25 Revenue Hours]]-VRHsizing[[#This Row],[FY24 Revenue Hours]]</f>
        <v>2311.9499999999971</v>
      </c>
      <c r="L40" s="236">
        <f>K40/VRHsizing[[#This Row],[FY24 Revenue Hours]]</f>
        <v>3.6660347694129965E-2</v>
      </c>
    </row>
    <row r="41" spans="1:12">
      <c r="A41" s="208" t="s">
        <v>125</v>
      </c>
      <c r="B41" s="216">
        <f>SUM(B2:B40)</f>
        <v>4349114</v>
      </c>
      <c r="C41" s="216">
        <f>SUM(C2:C40)</f>
        <v>4474682</v>
      </c>
      <c r="D41" s="216">
        <f>SUM(D2:D40)</f>
        <v>4681838.6436643004</v>
      </c>
      <c r="E41" s="216">
        <f>SUM(E2:E40)</f>
        <v>4873590.9100194974</v>
      </c>
      <c r="F41" s="217" t="s">
        <v>134</v>
      </c>
      <c r="G41" s="26" t="s">
        <v>134</v>
      </c>
      <c r="H41" s="218" t="s">
        <v>134</v>
      </c>
      <c r="K41" s="235">
        <f>E41-D41</f>
        <v>191752.26635519695</v>
      </c>
      <c r="L41" s="236">
        <f>K41/D41</f>
        <v>4.0956615754941868E-2</v>
      </c>
    </row>
    <row r="42" spans="1:12">
      <c r="B42" s="25"/>
      <c r="C42" s="21"/>
    </row>
    <row r="44" spans="1:12">
      <c r="D44" s="237" t="s">
        <v>164</v>
      </c>
    </row>
  </sheetData>
  <sheetProtection sheet="1" objects="1" scenarios="1"/>
  <conditionalFormatting sqref="H2:H40">
    <cfRule type="cellIs" dxfId="9" priority="3" operator="lessThan">
      <formula>0</formula>
    </cfRule>
  </conditionalFormatting>
  <conditionalFormatting sqref="I2:I40">
    <cfRule type="cellIs" dxfId="8" priority="4" operator="lessThan">
      <formula>0</formula>
    </cfRule>
  </conditionalFormatting>
  <conditionalFormatting sqref="K2:L41">
    <cfRule type="cellIs" dxfId="7" priority="1" operator="lessThan">
      <formula>0</formula>
    </cfRule>
    <cfRule type="cellIs" dxfId="6" priority="2" operator="greaterThan">
      <formula>0</formula>
    </cfRule>
  </conditionalFormatting>
  <pageMargins left="0.25" right="0.25" top="0.75" bottom="0.75" header="0.3" footer="0.3"/>
  <pageSetup scale="83" orientation="portrait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35DD-9B83-466A-B033-903CCD4DE81D}">
  <sheetPr>
    <pageSetUpPr fitToPage="1"/>
  </sheetPr>
  <dimension ref="A1:R47"/>
  <sheetViews>
    <sheetView zoomScaleNormal="100" workbookViewId="0">
      <selection activeCell="C15" sqref="C15"/>
    </sheetView>
  </sheetViews>
  <sheetFormatPr defaultColWidth="9.26953125" defaultRowHeight="16"/>
  <cols>
    <col min="1" max="1" width="48" style="23" bestFit="1" customWidth="1"/>
    <col min="2" max="4" width="23.26953125" style="24" bestFit="1" customWidth="1"/>
    <col min="5" max="5" width="23.26953125" style="23" bestFit="1" customWidth="1"/>
    <col min="6" max="6" width="21.81640625" style="23" bestFit="1" customWidth="1"/>
    <col min="7" max="7" width="16.453125" style="23" bestFit="1" customWidth="1"/>
    <col min="8" max="8" width="23.81640625" style="165" bestFit="1" customWidth="1"/>
    <col min="9" max="9" width="6.1796875" style="165" customWidth="1"/>
    <col min="10" max="10" width="9.26953125" style="23"/>
    <col min="11" max="11" width="46.7265625" style="23" bestFit="1" customWidth="1"/>
    <col min="12" max="13" width="12.54296875" style="23" customWidth="1"/>
    <col min="14" max="14" width="11.81640625" style="23" bestFit="1" customWidth="1"/>
    <col min="15" max="16" width="9.26953125" style="23"/>
    <col min="17" max="17" width="44.26953125" style="23" bestFit="1" customWidth="1"/>
    <col min="18" max="18" width="16.7265625" style="23" bestFit="1" customWidth="1"/>
    <col min="19" max="16384" width="9.26953125" style="23"/>
  </cols>
  <sheetData>
    <row r="1" spans="1:18">
      <c r="A1" s="231" t="s">
        <v>124</v>
      </c>
      <c r="B1" s="232" t="s">
        <v>152</v>
      </c>
      <c r="C1" s="232" t="s">
        <v>153</v>
      </c>
      <c r="D1" s="232" t="s">
        <v>154</v>
      </c>
      <c r="E1" s="232" t="s">
        <v>155</v>
      </c>
      <c r="F1" s="214" t="s">
        <v>14</v>
      </c>
      <c r="G1" s="215" t="s">
        <v>142</v>
      </c>
      <c r="H1" s="215" t="s">
        <v>143</v>
      </c>
      <c r="Q1" s="242"/>
      <c r="R1" s="242"/>
    </row>
    <row r="2" spans="1:18" s="19" customFormat="1">
      <c r="A2" s="208" t="s">
        <v>75</v>
      </c>
      <c r="B2" s="225">
        <v>634178</v>
      </c>
      <c r="C2" s="225">
        <v>692104</v>
      </c>
      <c r="D2" s="225">
        <v>650766</v>
      </c>
      <c r="E2" s="211">
        <v>563585</v>
      </c>
      <c r="F2" s="201" t="s">
        <v>74</v>
      </c>
      <c r="G2">
        <v>1</v>
      </c>
      <c r="H2">
        <v>1</v>
      </c>
      <c r="I2" s="166"/>
      <c r="K2" s="238"/>
      <c r="L2" s="239"/>
      <c r="M2" s="239"/>
      <c r="N2" s="244"/>
      <c r="O2" s="245"/>
      <c r="Q2" s="243"/>
      <c r="R2" s="244"/>
    </row>
    <row r="3" spans="1:18" s="19" customFormat="1">
      <c r="A3" s="208" t="s">
        <v>76</v>
      </c>
      <c r="B3" s="210">
        <v>84107</v>
      </c>
      <c r="C3" s="210">
        <v>94333</v>
      </c>
      <c r="D3" s="210">
        <v>91473</v>
      </c>
      <c r="E3" s="211">
        <v>90570</v>
      </c>
      <c r="F3" s="201" t="s">
        <v>74</v>
      </c>
      <c r="G3">
        <v>2</v>
      </c>
      <c r="H3">
        <v>5</v>
      </c>
      <c r="I3" s="166"/>
      <c r="K3" s="238"/>
      <c r="L3" s="239"/>
      <c r="M3" s="239"/>
      <c r="N3" s="244"/>
      <c r="O3" s="245"/>
      <c r="Q3" s="243"/>
      <c r="R3" s="244"/>
    </row>
    <row r="4" spans="1:18" s="19" customFormat="1">
      <c r="A4" s="208" t="s">
        <v>77</v>
      </c>
      <c r="B4" s="211">
        <v>440288</v>
      </c>
      <c r="C4" s="211">
        <v>490148</v>
      </c>
      <c r="D4" s="211">
        <v>522054</v>
      </c>
      <c r="E4" s="211">
        <v>474357</v>
      </c>
      <c r="F4" s="201" t="s">
        <v>74</v>
      </c>
      <c r="G4">
        <v>3</v>
      </c>
      <c r="H4">
        <v>13</v>
      </c>
      <c r="I4" s="166"/>
      <c r="K4" s="238"/>
      <c r="L4" s="239"/>
      <c r="M4" s="239"/>
      <c r="N4" s="244"/>
      <c r="O4" s="245"/>
      <c r="Q4" s="243"/>
      <c r="R4" s="244"/>
    </row>
    <row r="5" spans="1:18" s="19" customFormat="1">
      <c r="A5" s="208" t="s">
        <v>78</v>
      </c>
      <c r="B5" s="211">
        <v>639628</v>
      </c>
      <c r="C5" s="211">
        <v>800372</v>
      </c>
      <c r="D5" s="211">
        <v>745438</v>
      </c>
      <c r="E5" s="211">
        <v>726302</v>
      </c>
      <c r="F5" s="201" t="s">
        <v>74</v>
      </c>
      <c r="G5">
        <v>4</v>
      </c>
      <c r="H5">
        <v>23</v>
      </c>
      <c r="I5" s="166"/>
      <c r="K5" s="238"/>
      <c r="L5" s="239"/>
      <c r="M5" s="239"/>
      <c r="N5" s="244"/>
      <c r="O5" s="245"/>
      <c r="Q5" s="243"/>
      <c r="R5" s="244"/>
    </row>
    <row r="6" spans="1:18" s="19" customFormat="1">
      <c r="A6" s="208" t="s">
        <v>79</v>
      </c>
      <c r="B6" s="211">
        <v>129480</v>
      </c>
      <c r="C6" s="211">
        <v>132943</v>
      </c>
      <c r="D6" s="211">
        <v>126970</v>
      </c>
      <c r="E6" s="211">
        <v>124910</v>
      </c>
      <c r="F6" s="201" t="s">
        <v>74</v>
      </c>
      <c r="G6">
        <v>5</v>
      </c>
      <c r="H6">
        <v>36</v>
      </c>
      <c r="I6" s="166"/>
      <c r="K6" s="238"/>
      <c r="L6" s="239"/>
      <c r="M6" s="239"/>
      <c r="N6" s="244"/>
      <c r="O6" s="245"/>
      <c r="Q6" s="243"/>
      <c r="R6" s="244"/>
    </row>
    <row r="7" spans="1:18" s="19" customFormat="1">
      <c r="A7" s="208" t="s">
        <v>81</v>
      </c>
      <c r="B7" s="226">
        <v>1184761</v>
      </c>
      <c r="C7" s="226">
        <v>1242786</v>
      </c>
      <c r="D7" s="226">
        <v>1380275</v>
      </c>
      <c r="E7" s="211">
        <v>1616127</v>
      </c>
      <c r="F7" s="201" t="s">
        <v>80</v>
      </c>
      <c r="G7">
        <v>6</v>
      </c>
      <c r="H7">
        <v>4</v>
      </c>
      <c r="I7" s="166"/>
      <c r="K7" s="238"/>
      <c r="L7" s="239"/>
      <c r="M7" s="239"/>
      <c r="N7" s="244"/>
      <c r="O7" s="245"/>
      <c r="Q7" s="243"/>
      <c r="R7" s="244"/>
    </row>
    <row r="8" spans="1:18" s="19" customFormat="1">
      <c r="A8" s="208" t="s">
        <v>166</v>
      </c>
      <c r="B8" s="211">
        <v>598250</v>
      </c>
      <c r="C8" s="211">
        <v>548622</v>
      </c>
      <c r="D8" s="211">
        <v>554895</v>
      </c>
      <c r="E8" s="211">
        <v>532870</v>
      </c>
      <c r="F8" s="201" t="s">
        <v>82</v>
      </c>
      <c r="G8">
        <v>7</v>
      </c>
      <c r="H8">
        <v>15</v>
      </c>
      <c r="I8" s="166"/>
      <c r="K8" s="238"/>
      <c r="L8" s="239"/>
      <c r="M8" s="239"/>
      <c r="N8" s="244"/>
      <c r="O8" s="245"/>
      <c r="Q8" s="243"/>
      <c r="R8" s="244"/>
    </row>
    <row r="9" spans="1:18" s="19" customFormat="1">
      <c r="A9" s="208" t="s">
        <v>85</v>
      </c>
      <c r="B9" s="210">
        <v>415022</v>
      </c>
      <c r="C9" s="210">
        <v>442128</v>
      </c>
      <c r="D9" s="210">
        <v>463883</v>
      </c>
      <c r="E9" s="211">
        <v>470169</v>
      </c>
      <c r="F9" s="201" t="s">
        <v>84</v>
      </c>
      <c r="G9">
        <v>8</v>
      </c>
      <c r="H9">
        <v>9</v>
      </c>
      <c r="I9" s="166"/>
      <c r="K9" s="238"/>
      <c r="L9" s="239"/>
      <c r="M9" s="239"/>
      <c r="N9" s="244"/>
      <c r="O9" s="245"/>
      <c r="Q9" s="243"/>
      <c r="R9" s="244"/>
    </row>
    <row r="10" spans="1:18" s="19" customFormat="1">
      <c r="A10" s="208" t="s">
        <v>86</v>
      </c>
      <c r="B10" s="211">
        <v>52366</v>
      </c>
      <c r="C10" s="211">
        <v>54991</v>
      </c>
      <c r="D10" s="211">
        <v>53914</v>
      </c>
      <c r="E10" s="211">
        <v>53460</v>
      </c>
      <c r="F10" s="201" t="s">
        <v>84</v>
      </c>
      <c r="G10">
        <v>9</v>
      </c>
      <c r="H10">
        <v>19</v>
      </c>
      <c r="I10" s="166"/>
      <c r="K10" s="238"/>
      <c r="L10" s="239"/>
      <c r="M10" s="239"/>
      <c r="N10" s="244"/>
      <c r="O10" s="245"/>
      <c r="Q10" s="243"/>
      <c r="R10" s="244"/>
    </row>
    <row r="11" spans="1:18" s="19" customFormat="1">
      <c r="A11" s="208" t="s">
        <v>87</v>
      </c>
      <c r="B11" s="211">
        <v>12904187</v>
      </c>
      <c r="C11" s="211">
        <v>13757219</v>
      </c>
      <c r="D11" s="211">
        <v>13608118.7366</v>
      </c>
      <c r="E11" s="211">
        <v>12877408</v>
      </c>
      <c r="F11" s="201" t="s">
        <v>84</v>
      </c>
      <c r="G11">
        <v>10</v>
      </c>
      <c r="H11">
        <v>20</v>
      </c>
      <c r="I11" s="166"/>
      <c r="K11" s="238"/>
      <c r="L11" s="239"/>
      <c r="M11" s="239"/>
      <c r="N11" s="244"/>
      <c r="O11" s="245"/>
      <c r="Q11" s="243"/>
      <c r="R11" s="244"/>
    </row>
    <row r="12" spans="1:18" s="19" customFormat="1">
      <c r="A12" s="208" t="s">
        <v>88</v>
      </c>
      <c r="B12" s="211">
        <v>483018</v>
      </c>
      <c r="C12" s="211">
        <v>510877</v>
      </c>
      <c r="D12" s="211">
        <v>529269</v>
      </c>
      <c r="E12" s="211">
        <v>543346</v>
      </c>
      <c r="F12" s="201" t="s">
        <v>84</v>
      </c>
      <c r="G12">
        <v>11</v>
      </c>
      <c r="H12">
        <v>31</v>
      </c>
      <c r="I12" s="166"/>
      <c r="K12" s="238"/>
      <c r="L12" s="239"/>
      <c r="M12" s="239"/>
      <c r="N12" s="244"/>
      <c r="O12" s="245"/>
      <c r="Q12" s="243"/>
      <c r="R12" s="244"/>
    </row>
    <row r="13" spans="1:18" s="19" customFormat="1">
      <c r="A13" s="208" t="s">
        <v>89</v>
      </c>
      <c r="B13" s="211">
        <v>6777</v>
      </c>
      <c r="C13" s="211">
        <v>4641</v>
      </c>
      <c r="D13" s="211">
        <v>13470</v>
      </c>
      <c r="E13" s="211">
        <v>13408</v>
      </c>
      <c r="F13" s="201" t="s">
        <v>84</v>
      </c>
      <c r="G13">
        <v>12</v>
      </c>
      <c r="H13">
        <v>37</v>
      </c>
      <c r="I13" s="166"/>
      <c r="K13" s="238"/>
      <c r="L13" s="239"/>
      <c r="M13" s="239"/>
      <c r="N13" s="244"/>
      <c r="O13" s="245"/>
      <c r="Q13" s="243"/>
      <c r="R13" s="244"/>
    </row>
    <row r="14" spans="1:18" s="19" customFormat="1">
      <c r="A14" s="208" t="s">
        <v>90</v>
      </c>
      <c r="B14" s="211">
        <v>1099092</v>
      </c>
      <c r="C14" s="211">
        <v>1099660</v>
      </c>
      <c r="D14" s="211">
        <v>1127856</v>
      </c>
      <c r="E14" s="211">
        <v>1121781</v>
      </c>
      <c r="F14" s="201" t="s">
        <v>84</v>
      </c>
      <c r="G14">
        <v>13</v>
      </c>
      <c r="H14">
        <v>39</v>
      </c>
      <c r="I14" s="166"/>
      <c r="K14" s="238"/>
      <c r="L14" s="239"/>
      <c r="M14" s="239"/>
      <c r="N14" s="244"/>
      <c r="O14" s="245"/>
      <c r="Q14" s="243"/>
      <c r="R14" s="244"/>
    </row>
    <row r="15" spans="1:18" s="19" customFormat="1">
      <c r="A15" s="208" t="s">
        <v>92</v>
      </c>
      <c r="B15" s="211">
        <v>531990</v>
      </c>
      <c r="C15" s="211">
        <v>470807</v>
      </c>
      <c r="D15" s="211">
        <v>565576</v>
      </c>
      <c r="E15" s="211">
        <v>522819</v>
      </c>
      <c r="F15" s="201" t="s">
        <v>91</v>
      </c>
      <c r="G15">
        <v>14</v>
      </c>
      <c r="H15">
        <v>12</v>
      </c>
      <c r="I15" s="166"/>
      <c r="K15" s="238"/>
      <c r="L15" s="239"/>
      <c r="M15" s="239"/>
      <c r="N15" s="244"/>
      <c r="O15" s="245"/>
      <c r="Q15" s="243"/>
      <c r="R15" s="244"/>
    </row>
    <row r="16" spans="1:18" s="19" customFormat="1">
      <c r="A16" s="208" t="s">
        <v>93</v>
      </c>
      <c r="B16" s="211">
        <v>174059</v>
      </c>
      <c r="C16" s="211">
        <v>171222</v>
      </c>
      <c r="D16" s="211">
        <v>168612</v>
      </c>
      <c r="E16" s="211">
        <v>170330</v>
      </c>
      <c r="F16" s="201" t="s">
        <v>91</v>
      </c>
      <c r="G16">
        <v>15</v>
      </c>
      <c r="H16">
        <v>14</v>
      </c>
      <c r="I16" s="166"/>
      <c r="K16" s="238"/>
      <c r="L16" s="239"/>
      <c r="M16" s="239"/>
      <c r="N16" s="244"/>
      <c r="O16" s="245"/>
      <c r="Q16" s="243"/>
      <c r="R16" s="244"/>
    </row>
    <row r="17" spans="1:18" s="19" customFormat="1">
      <c r="A17" s="208" t="s">
        <v>94</v>
      </c>
      <c r="B17" s="211">
        <v>1073547</v>
      </c>
      <c r="C17" s="211">
        <v>1150861</v>
      </c>
      <c r="D17" s="211">
        <v>1157573.97</v>
      </c>
      <c r="E17" s="211">
        <v>1183040</v>
      </c>
      <c r="F17" s="201" t="s">
        <v>91</v>
      </c>
      <c r="G17">
        <v>16</v>
      </c>
      <c r="H17">
        <v>16</v>
      </c>
      <c r="I17" s="166"/>
      <c r="K17" s="238"/>
      <c r="L17" s="239"/>
      <c r="M17" s="239"/>
      <c r="N17" s="244"/>
      <c r="O17" s="245"/>
      <c r="Q17" s="243"/>
      <c r="R17" s="244"/>
    </row>
    <row r="18" spans="1:18" s="19" customFormat="1">
      <c r="A18" s="208" t="s">
        <v>95</v>
      </c>
      <c r="B18" s="211">
        <v>48696</v>
      </c>
      <c r="C18" s="211">
        <v>48742</v>
      </c>
      <c r="D18" s="211">
        <v>50699</v>
      </c>
      <c r="E18" s="211">
        <v>52054</v>
      </c>
      <c r="F18" s="201" t="s">
        <v>91</v>
      </c>
      <c r="G18">
        <v>17</v>
      </c>
      <c r="H18">
        <v>32</v>
      </c>
      <c r="I18" s="166"/>
      <c r="K18" s="238"/>
      <c r="L18" s="239"/>
      <c r="M18" s="239"/>
      <c r="N18" s="244"/>
      <c r="O18" s="245"/>
      <c r="Q18" s="243"/>
      <c r="R18" s="244"/>
    </row>
    <row r="19" spans="1:18" s="19" customFormat="1">
      <c r="A19" s="208" t="s">
        <v>165</v>
      </c>
      <c r="B19" s="226">
        <f>1820398</f>
        <v>1820398</v>
      </c>
      <c r="C19" s="226">
        <f>2090076</f>
        <v>2090076</v>
      </c>
      <c r="D19" s="226">
        <f>3306565</f>
        <v>3306565</v>
      </c>
      <c r="E19" s="233">
        <f>3402392</f>
        <v>3402392</v>
      </c>
      <c r="F19" s="201" t="s">
        <v>96</v>
      </c>
      <c r="G19">
        <v>18</v>
      </c>
      <c r="H19">
        <v>11</v>
      </c>
      <c r="I19" s="166"/>
      <c r="K19" s="238"/>
      <c r="L19" s="239"/>
      <c r="M19" s="239"/>
      <c r="N19" s="244"/>
      <c r="O19" s="245"/>
      <c r="Q19" s="243"/>
      <c r="R19" s="244"/>
    </row>
    <row r="20" spans="1:18" s="19" customFormat="1">
      <c r="A20" s="208" t="s">
        <v>98</v>
      </c>
      <c r="B20" s="211">
        <v>2083544</v>
      </c>
      <c r="C20" s="211">
        <v>2205880</v>
      </c>
      <c r="D20" s="211">
        <v>2329537</v>
      </c>
      <c r="E20" s="211">
        <v>2247168</v>
      </c>
      <c r="F20" s="201" t="s">
        <v>96</v>
      </c>
      <c r="G20">
        <v>19</v>
      </c>
      <c r="H20">
        <v>24</v>
      </c>
      <c r="I20" s="166"/>
      <c r="K20" s="238"/>
      <c r="L20" s="239"/>
      <c r="M20" s="239"/>
      <c r="N20" s="244"/>
      <c r="O20" s="245"/>
      <c r="Q20" s="243"/>
      <c r="R20" s="244"/>
    </row>
    <row r="21" spans="1:18" s="19" customFormat="1">
      <c r="A21" s="208" t="s">
        <v>99</v>
      </c>
      <c r="B21" s="211">
        <v>2503129</v>
      </c>
      <c r="C21" s="211">
        <v>3036654</v>
      </c>
      <c r="D21" s="211">
        <v>2865159</v>
      </c>
      <c r="E21" s="211">
        <v>2959703</v>
      </c>
      <c r="F21" s="201" t="s">
        <v>96</v>
      </c>
      <c r="G21">
        <v>20</v>
      </c>
      <c r="H21">
        <v>25</v>
      </c>
      <c r="I21" s="166"/>
      <c r="K21" s="238"/>
      <c r="L21" s="239"/>
      <c r="M21" s="239"/>
      <c r="N21" s="244"/>
      <c r="O21" s="245"/>
      <c r="Q21" s="243"/>
      <c r="R21" s="244"/>
    </row>
    <row r="22" spans="1:18" s="19" customFormat="1">
      <c r="A22" s="208" t="s">
        <v>100</v>
      </c>
      <c r="B22" s="211">
        <v>434291</v>
      </c>
      <c r="C22" s="211">
        <v>439291</v>
      </c>
      <c r="D22" s="211">
        <v>434414</v>
      </c>
      <c r="E22" s="211">
        <v>434479</v>
      </c>
      <c r="F22" s="201" t="s">
        <v>96</v>
      </c>
      <c r="G22">
        <v>21</v>
      </c>
      <c r="H22">
        <v>26</v>
      </c>
      <c r="I22" s="166"/>
      <c r="K22" s="238"/>
      <c r="L22" s="239"/>
      <c r="M22" s="239"/>
      <c r="N22" s="244"/>
      <c r="O22" s="245"/>
      <c r="Q22" s="243"/>
      <c r="R22" s="244"/>
    </row>
    <row r="23" spans="1:18" s="19" customFormat="1">
      <c r="A23" s="208" t="s">
        <v>101</v>
      </c>
      <c r="B23" s="226">
        <f>10856360</f>
        <v>10856360</v>
      </c>
      <c r="C23" s="211">
        <v>11068404</v>
      </c>
      <c r="D23" s="211">
        <v>10820543.213</v>
      </c>
      <c r="E23" s="211">
        <v>11834233</v>
      </c>
      <c r="F23" s="201" t="s">
        <v>96</v>
      </c>
      <c r="G23">
        <v>22</v>
      </c>
      <c r="H23">
        <v>27</v>
      </c>
      <c r="I23" s="166"/>
      <c r="K23" s="238"/>
      <c r="L23" s="239"/>
      <c r="M23" s="239"/>
      <c r="N23" s="244"/>
      <c r="O23" s="245"/>
      <c r="Q23" s="243"/>
      <c r="R23" s="244"/>
    </row>
    <row r="24" spans="1:18" s="19" customFormat="1">
      <c r="A24" s="208" t="s">
        <v>102</v>
      </c>
      <c r="B24" s="226">
        <f>3292747</f>
        <v>3292747</v>
      </c>
      <c r="C24" s="226">
        <f>3127398</f>
        <v>3127398</v>
      </c>
      <c r="D24" s="226">
        <f>3747819.65</f>
        <v>3747819.65</v>
      </c>
      <c r="E24" s="233">
        <f>4028184.95969473</f>
        <v>4028184.9596947301</v>
      </c>
      <c r="F24" s="201" t="s">
        <v>96</v>
      </c>
      <c r="G24">
        <v>23</v>
      </c>
      <c r="H24">
        <v>28</v>
      </c>
      <c r="I24" s="166"/>
      <c r="K24" s="238"/>
      <c r="L24" s="239"/>
      <c r="M24" s="239"/>
      <c r="N24" s="244"/>
      <c r="O24" s="245"/>
      <c r="Q24" s="243"/>
      <c r="R24" s="244"/>
    </row>
    <row r="25" spans="1:18" s="19" customFormat="1">
      <c r="A25" s="208" t="s">
        <v>104</v>
      </c>
      <c r="B25" s="211">
        <v>554292</v>
      </c>
      <c r="C25" s="211">
        <v>553318</v>
      </c>
      <c r="D25" s="211">
        <v>539337</v>
      </c>
      <c r="E25" s="211">
        <v>571373</v>
      </c>
      <c r="F25" s="201" t="s">
        <v>103</v>
      </c>
      <c r="G25">
        <v>24</v>
      </c>
      <c r="H25">
        <v>7</v>
      </c>
      <c r="I25" s="166"/>
      <c r="K25" s="238"/>
      <c r="L25" s="239"/>
      <c r="M25" s="239"/>
      <c r="N25" s="244"/>
      <c r="O25" s="245"/>
      <c r="Q25" s="243"/>
      <c r="R25" s="244"/>
    </row>
    <row r="26" spans="1:18" s="19" customFormat="1">
      <c r="A26" s="208" t="s">
        <v>105</v>
      </c>
      <c r="B26" s="211">
        <v>7359404</v>
      </c>
      <c r="C26" s="226">
        <f>6987882</f>
        <v>6987882</v>
      </c>
      <c r="D26" s="226">
        <f>7664912</f>
        <v>7664912</v>
      </c>
      <c r="E26" s="233">
        <f>9029698</f>
        <v>9029698</v>
      </c>
      <c r="F26" s="201" t="s">
        <v>103</v>
      </c>
      <c r="G26">
        <v>25</v>
      </c>
      <c r="H26">
        <v>17</v>
      </c>
      <c r="I26" s="166"/>
      <c r="K26" s="238"/>
      <c r="L26" s="239"/>
      <c r="M26" s="239"/>
      <c r="N26" s="244"/>
      <c r="O26" s="245"/>
      <c r="Q26" s="243"/>
      <c r="R26" s="244"/>
    </row>
    <row r="27" spans="1:18" s="19" customFormat="1">
      <c r="A27" s="208" t="s">
        <v>173</v>
      </c>
      <c r="B27" s="211">
        <v>0</v>
      </c>
      <c r="C27" s="211">
        <v>14369</v>
      </c>
      <c r="D27" s="211">
        <v>20921</v>
      </c>
      <c r="E27" s="211">
        <v>19549</v>
      </c>
      <c r="F27" s="201" t="s">
        <v>106</v>
      </c>
      <c r="G27">
        <v>26</v>
      </c>
      <c r="H27">
        <v>33</v>
      </c>
      <c r="I27" s="166"/>
      <c r="K27" s="238"/>
      <c r="L27" s="239"/>
      <c r="M27" s="239"/>
      <c r="N27" s="244"/>
      <c r="O27" s="245"/>
      <c r="Q27" s="243"/>
      <c r="R27" s="244"/>
    </row>
    <row r="28" spans="1:18" s="19" customFormat="1">
      <c r="A28" s="208" t="s">
        <v>170</v>
      </c>
      <c r="B28" s="211">
        <v>1050017</v>
      </c>
      <c r="C28" s="211">
        <v>970481</v>
      </c>
      <c r="D28" s="211">
        <v>1022384</v>
      </c>
      <c r="E28" s="211">
        <v>1225247</v>
      </c>
      <c r="F28" s="201" t="s">
        <v>106</v>
      </c>
      <c r="G28">
        <v>27</v>
      </c>
      <c r="H28">
        <v>34</v>
      </c>
      <c r="I28" s="166"/>
      <c r="K28" s="238"/>
      <c r="L28" s="239"/>
      <c r="M28" s="239"/>
      <c r="N28" s="244"/>
      <c r="O28" s="245"/>
      <c r="Q28" s="243"/>
      <c r="R28" s="244"/>
    </row>
    <row r="29" spans="1:18" s="19" customFormat="1">
      <c r="A29" s="208" t="s">
        <v>108</v>
      </c>
      <c r="B29" s="211">
        <v>373643</v>
      </c>
      <c r="C29" s="211">
        <v>388317</v>
      </c>
      <c r="D29" s="211">
        <v>438033</v>
      </c>
      <c r="E29" s="211">
        <v>415651.78999999992</v>
      </c>
      <c r="F29" s="201" t="s">
        <v>106</v>
      </c>
      <c r="G29">
        <v>28</v>
      </c>
      <c r="H29">
        <v>8</v>
      </c>
      <c r="I29" s="166"/>
      <c r="K29" s="238"/>
      <c r="L29" s="239"/>
      <c r="M29" s="239"/>
      <c r="N29" s="244"/>
      <c r="O29" s="245"/>
      <c r="Q29" s="243"/>
      <c r="R29" s="244"/>
    </row>
    <row r="30" spans="1:18" s="19" customFormat="1">
      <c r="A30" s="208" t="s">
        <v>109</v>
      </c>
      <c r="B30" s="211">
        <v>2582667</v>
      </c>
      <c r="C30" s="211">
        <v>2266478</v>
      </c>
      <c r="D30" s="211">
        <v>2359994</v>
      </c>
      <c r="E30" s="211">
        <v>2558671</v>
      </c>
      <c r="F30" s="201" t="s">
        <v>106</v>
      </c>
      <c r="G30">
        <v>29</v>
      </c>
      <c r="H30">
        <v>18</v>
      </c>
      <c r="I30" s="166"/>
      <c r="K30" s="238"/>
      <c r="L30" s="239"/>
      <c r="M30" s="239"/>
      <c r="N30" s="244"/>
      <c r="O30" s="245"/>
      <c r="Q30" s="243"/>
      <c r="R30" s="244"/>
    </row>
    <row r="31" spans="1:18" s="19" customFormat="1">
      <c r="A31" s="208" t="s">
        <v>110</v>
      </c>
      <c r="B31" s="211">
        <v>220116</v>
      </c>
      <c r="C31" s="211">
        <v>227896</v>
      </c>
      <c r="D31" s="211">
        <v>231250</v>
      </c>
      <c r="E31" s="211">
        <v>230357</v>
      </c>
      <c r="F31" s="201" t="s">
        <v>106</v>
      </c>
      <c r="G31">
        <v>30</v>
      </c>
      <c r="H31">
        <v>29</v>
      </c>
      <c r="I31" s="166"/>
      <c r="K31" s="238"/>
      <c r="L31" s="239"/>
      <c r="M31" s="239"/>
      <c r="N31" s="244"/>
      <c r="O31" s="245"/>
      <c r="Q31" s="243"/>
      <c r="R31" s="244"/>
    </row>
    <row r="32" spans="1:18" s="19" customFormat="1">
      <c r="A32" s="208" t="s">
        <v>112</v>
      </c>
      <c r="B32" s="211">
        <v>710177</v>
      </c>
      <c r="C32" s="211">
        <v>740596</v>
      </c>
      <c r="D32" s="211">
        <v>705618.94</v>
      </c>
      <c r="E32" s="211">
        <v>709247</v>
      </c>
      <c r="F32" s="201" t="s">
        <v>111</v>
      </c>
      <c r="G32">
        <v>31</v>
      </c>
      <c r="H32">
        <v>3</v>
      </c>
      <c r="I32" s="166"/>
      <c r="K32" s="238"/>
      <c r="L32" s="239"/>
      <c r="M32" s="239"/>
      <c r="N32" s="244"/>
      <c r="O32" s="245"/>
      <c r="Q32" s="243"/>
      <c r="R32" s="244"/>
    </row>
    <row r="33" spans="1:18" s="19" customFormat="1">
      <c r="A33" s="208" t="s">
        <v>113</v>
      </c>
      <c r="B33" s="211">
        <v>753636</v>
      </c>
      <c r="C33" s="211">
        <v>723645</v>
      </c>
      <c r="D33" s="211">
        <v>768657</v>
      </c>
      <c r="E33" s="211">
        <v>793294</v>
      </c>
      <c r="F33" s="201" t="s">
        <v>111</v>
      </c>
      <c r="G33">
        <v>32</v>
      </c>
      <c r="H33">
        <v>6</v>
      </c>
      <c r="I33" s="166"/>
      <c r="K33" s="238"/>
      <c r="L33" s="239"/>
      <c r="M33" s="239"/>
      <c r="N33" s="244"/>
      <c r="O33" s="245"/>
      <c r="Q33" s="243"/>
      <c r="R33" s="244"/>
    </row>
    <row r="34" spans="1:18" s="19" customFormat="1">
      <c r="A34" s="208" t="s">
        <v>114</v>
      </c>
      <c r="B34" s="211">
        <v>185237</v>
      </c>
      <c r="C34" s="211">
        <v>226791</v>
      </c>
      <c r="D34" s="211">
        <v>331246</v>
      </c>
      <c r="E34" s="211">
        <v>388329</v>
      </c>
      <c r="F34" s="201" t="s">
        <v>111</v>
      </c>
      <c r="G34">
        <v>33</v>
      </c>
      <c r="H34">
        <v>10</v>
      </c>
      <c r="I34" s="166"/>
      <c r="K34" s="238"/>
      <c r="L34" s="239"/>
      <c r="M34" s="239"/>
      <c r="N34" s="244"/>
      <c r="O34" s="245"/>
      <c r="Q34" s="243"/>
      <c r="R34" s="244"/>
    </row>
    <row r="35" spans="1:18" s="19" customFormat="1">
      <c r="A35" s="208" t="s">
        <v>116</v>
      </c>
      <c r="B35" s="211">
        <v>1402170</v>
      </c>
      <c r="C35" s="211">
        <v>1393044</v>
      </c>
      <c r="D35" s="211">
        <v>1392527</v>
      </c>
      <c r="E35" s="211">
        <v>1316507</v>
      </c>
      <c r="F35" s="201" t="s">
        <v>115</v>
      </c>
      <c r="G35">
        <v>34</v>
      </c>
      <c r="H35">
        <v>2</v>
      </c>
      <c r="I35" s="166"/>
      <c r="K35" s="238"/>
      <c r="L35" s="239"/>
      <c r="M35" s="239"/>
      <c r="N35" s="244"/>
      <c r="O35" s="245"/>
      <c r="Q35" s="243"/>
      <c r="R35" s="244"/>
    </row>
    <row r="36" spans="1:18" s="19" customFormat="1">
      <c r="A36" s="208" t="s">
        <v>171</v>
      </c>
      <c r="B36" s="211">
        <v>414537</v>
      </c>
      <c r="C36" s="211">
        <v>418259</v>
      </c>
      <c r="D36" s="211">
        <v>413556</v>
      </c>
      <c r="E36" s="211">
        <v>375346</v>
      </c>
      <c r="F36" s="201" t="s">
        <v>115</v>
      </c>
      <c r="G36">
        <v>35</v>
      </c>
      <c r="H36">
        <v>35</v>
      </c>
      <c r="I36" s="166"/>
      <c r="K36" s="238"/>
      <c r="L36" s="239"/>
      <c r="M36" s="239"/>
      <c r="N36" s="244"/>
      <c r="O36" s="245"/>
      <c r="Q36" s="243"/>
      <c r="R36" s="244"/>
    </row>
    <row r="37" spans="1:18" s="19" customFormat="1">
      <c r="A37" s="208" t="s">
        <v>167</v>
      </c>
      <c r="B37" s="226">
        <v>813639</v>
      </c>
      <c r="C37" s="226">
        <v>941674</v>
      </c>
      <c r="D37" s="226">
        <v>906466.02099999995</v>
      </c>
      <c r="E37" s="211">
        <v>890440</v>
      </c>
      <c r="F37" s="201" t="s">
        <v>115</v>
      </c>
      <c r="G37">
        <v>36</v>
      </c>
      <c r="H37">
        <v>21</v>
      </c>
      <c r="I37" s="166"/>
      <c r="K37" s="238"/>
      <c r="L37" s="239"/>
      <c r="M37" s="239"/>
      <c r="N37" s="244"/>
      <c r="O37" s="245"/>
      <c r="Q37" s="243"/>
      <c r="R37" s="244"/>
    </row>
    <row r="38" spans="1:18" s="19" customFormat="1">
      <c r="A38" s="208" t="s">
        <v>168</v>
      </c>
      <c r="B38" s="211">
        <v>55690</v>
      </c>
      <c r="C38" s="211">
        <v>60529</v>
      </c>
      <c r="D38" s="211">
        <v>59926</v>
      </c>
      <c r="E38" s="211">
        <v>57889</v>
      </c>
      <c r="F38" s="201" t="s">
        <v>115</v>
      </c>
      <c r="G38">
        <v>37</v>
      </c>
      <c r="H38">
        <v>22</v>
      </c>
      <c r="I38" s="166"/>
      <c r="K38" s="238"/>
      <c r="L38" s="239"/>
      <c r="M38" s="239"/>
      <c r="N38" s="244"/>
      <c r="O38" s="245"/>
      <c r="Q38" s="243"/>
      <c r="R38" s="244"/>
    </row>
    <row r="39" spans="1:18" s="19" customFormat="1">
      <c r="A39" s="208" t="s">
        <v>169</v>
      </c>
      <c r="B39" s="211">
        <v>310870</v>
      </c>
      <c r="C39" s="211">
        <v>313578</v>
      </c>
      <c r="D39" s="211">
        <v>310461</v>
      </c>
      <c r="E39" s="211">
        <v>302041</v>
      </c>
      <c r="F39" s="201" t="s">
        <v>115</v>
      </c>
      <c r="G39">
        <v>38</v>
      </c>
      <c r="H39">
        <v>30</v>
      </c>
      <c r="I39" s="166"/>
      <c r="K39" s="238"/>
      <c r="L39" s="239"/>
      <c r="M39" s="239"/>
      <c r="N39" s="244"/>
      <c r="O39" s="245"/>
      <c r="Q39" s="243"/>
      <c r="R39" s="244"/>
    </row>
    <row r="40" spans="1:18" s="19" customFormat="1">
      <c r="A40" s="208" t="s">
        <v>172</v>
      </c>
      <c r="B40" s="211">
        <v>935668</v>
      </c>
      <c r="C40" s="226">
        <v>994681</v>
      </c>
      <c r="D40" s="211">
        <v>985112</v>
      </c>
      <c r="E40" s="211">
        <v>983647</v>
      </c>
      <c r="F40" s="201" t="s">
        <v>115</v>
      </c>
      <c r="G40">
        <v>39</v>
      </c>
      <c r="H40">
        <v>38</v>
      </c>
      <c r="I40" s="166"/>
      <c r="K40" s="238"/>
      <c r="L40" s="239"/>
      <c r="M40" s="239"/>
      <c r="N40" s="244"/>
      <c r="O40" s="245"/>
      <c r="Q40" s="243"/>
      <c r="R40" s="244"/>
    </row>
    <row r="41" spans="1:18">
      <c r="A41" s="208" t="s">
        <v>125</v>
      </c>
      <c r="B41" s="216">
        <f>SUM(B2:B40)</f>
        <v>59211678</v>
      </c>
      <c r="C41" s="216">
        <f>SUM(C2:C40)</f>
        <v>60901697</v>
      </c>
      <c r="D41" s="216">
        <f>SUM(D2:D40)</f>
        <v>63465281.530599989</v>
      </c>
      <c r="E41" s="216">
        <f>SUM(E2:E40)</f>
        <v>65909982.749694727</v>
      </c>
      <c r="F41" s="217" t="s">
        <v>134</v>
      </c>
      <c r="G41" s="26" t="s">
        <v>134</v>
      </c>
      <c r="H41" s="218" t="s">
        <v>134</v>
      </c>
    </row>
    <row r="42" spans="1:18">
      <c r="B42" s="25"/>
      <c r="C42" s="21"/>
    </row>
    <row r="45" spans="1:18">
      <c r="E45" s="237"/>
    </row>
    <row r="46" spans="1:18">
      <c r="E46"/>
    </row>
    <row r="47" spans="1:18">
      <c r="E47" s="237"/>
    </row>
  </sheetData>
  <sheetProtection sheet="1" objects="1" scenarios="1"/>
  <conditionalFormatting sqref="H2:H40">
    <cfRule type="cellIs" dxfId="5" priority="3" operator="lessThan">
      <formula>0</formula>
    </cfRule>
  </conditionalFormatting>
  <conditionalFormatting sqref="I2:I40">
    <cfRule type="cellIs" dxfId="4" priority="4" operator="lessThan">
      <formula>0</formula>
    </cfRule>
  </conditionalFormatting>
  <pageMargins left="0.25" right="0.25" top="0.75" bottom="0.75" header="0.3" footer="0.3"/>
  <pageSetup scale="83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8F64028E5BD499EC8204CB79B4088" ma:contentTypeVersion="5" ma:contentTypeDescription="Create a new document." ma:contentTypeScope="" ma:versionID="aa4026c30cb35ec791bbf349c051be67">
  <xsd:schema xmlns:xsd="http://www.w3.org/2001/XMLSchema" xmlns:xs="http://www.w3.org/2001/XMLSchema" xmlns:p="http://schemas.microsoft.com/office/2006/metadata/properties" xmlns:ns1="http://schemas.microsoft.com/sharepoint/v3" xmlns:ns2="a5c324cd-8edd-4443-96c0-49a336b05a99" targetNamespace="http://schemas.microsoft.com/office/2006/metadata/properties" ma:root="true" ma:fieldsID="2fa8313120732c9e06af3edeaf016be2" ns1:_="" ns2:_="">
    <xsd:import namespace="http://schemas.microsoft.com/sharepoint/v3"/>
    <xsd:import namespace="a5c324cd-8edd-4443-96c0-49a336b05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324cd-8edd-4443-96c0-49a336b05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14CF0-1619-4B5E-90C2-9F2670CE86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DCC06F-A564-4656-AC40-6D0877FC4FBB}">
  <ds:schemaRefs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a5c324cd-8edd-4443-96c0-49a336b05a9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A0E5545-2D2A-456D-9F82-90DFDA7239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c324cd-8edd-4443-96c0-49a336b05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563d9c4-1af6-4d5e-894d-8f5a4315f709}" enabled="1" method="Privileged" siteId="{3667e201-cbdc-48b3-9b42-5d2d3f16e2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Assumptions</vt:lpstr>
      <vt:lpstr>LargeUrban</vt:lpstr>
      <vt:lpstr>SmallUrban</vt:lpstr>
      <vt:lpstr>Rural</vt:lpstr>
      <vt:lpstr>Allocation Calculations</vt:lpstr>
      <vt:lpstr>Ridership</vt:lpstr>
      <vt:lpstr>Revenue Hours</vt:lpstr>
      <vt:lpstr>Revenue Hours - Sizing</vt:lpstr>
      <vt:lpstr>Revenue Miles</vt:lpstr>
      <vt:lpstr>Revenue Miles - Sizing</vt:lpstr>
      <vt:lpstr>Op Cost - Performance</vt:lpstr>
      <vt:lpstr>Op Cost - Sizing (Reimbursable)</vt:lpstr>
      <vt:lpstr>Op Cost for Performance</vt:lpstr>
      <vt:lpstr>Order Key</vt:lpstr>
      <vt:lpstr>Commuter Rail Pool</vt:lpstr>
      <vt:lpstr>LargeUrban!Print_Area</vt:lpstr>
      <vt:lpstr>Rural!Print_Area</vt:lpstr>
      <vt:lpstr>SmallUrban!Print_Area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yy-DRPT-VB.NET</dc:creator>
  <cp:keywords/>
  <dc:description/>
  <cp:lastModifiedBy>Sparks, Grant (DRPT)</cp:lastModifiedBy>
  <cp:revision/>
  <cp:lastPrinted>2026-04-17T16:05:02Z</cp:lastPrinted>
  <dcterms:created xsi:type="dcterms:W3CDTF">1996-10-14T23:33:28Z</dcterms:created>
  <dcterms:modified xsi:type="dcterms:W3CDTF">2026-05-06T12:50:35Z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0x010100F058F64028E5BD499EC8204CB79B4088</vt:lpwstr>
  </property>
</Properties>
</file>